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440" windowHeight="7530" tabRatio="596"/>
  </bookViews>
  <sheets>
    <sheet name="HOJA" sheetId="3" r:id="rId1"/>
    <sheet name="Hoja1" sheetId="4" r:id="rId2"/>
  </sheets>
  <definedNames>
    <definedName name="_xlnm.Print_Area" localSheetId="0">HOJA!$A$1:$T$33</definedName>
  </definedNames>
  <calcPr calcId="171027"/>
</workbook>
</file>

<file path=xl/calcChain.xml><?xml version="1.0" encoding="utf-8"?>
<calcChain xmlns="http://schemas.openxmlformats.org/spreadsheetml/2006/main">
  <c r="D35" i="3" l="1"/>
  <c r="C35" i="3"/>
  <c r="B35" i="3"/>
  <c r="O35" i="3"/>
  <c r="Q35" i="3"/>
  <c r="P35" i="3"/>
  <c r="M35" i="3"/>
  <c r="K35" i="3" l="1"/>
  <c r="L35" i="3"/>
  <c r="S35" i="3"/>
  <c r="R35" i="3"/>
  <c r="D34" i="3"/>
  <c r="C34" i="3"/>
  <c r="L34" i="3" s="1"/>
  <c r="B34" i="3"/>
  <c r="O34" i="3" s="1"/>
  <c r="N34" i="3"/>
  <c r="Q34" i="3"/>
  <c r="K34" i="3"/>
  <c r="T35" i="3" l="1"/>
  <c r="M34" i="3"/>
  <c r="P34" i="3"/>
  <c r="R34" i="3" s="1"/>
  <c r="S34" i="3"/>
  <c r="D33" i="3"/>
  <c r="M33" i="3" s="1"/>
  <c r="C33" i="3"/>
  <c r="L33" i="3" s="1"/>
  <c r="B33" i="3"/>
  <c r="K33" i="3"/>
  <c r="O33" i="3"/>
  <c r="P33" i="3"/>
  <c r="T34" i="3" l="1"/>
  <c r="Q33" i="3"/>
  <c r="S33" i="3"/>
  <c r="R33" i="3"/>
  <c r="D32" i="3"/>
  <c r="C32" i="3"/>
  <c r="L32" i="3" s="1"/>
  <c r="B32" i="3"/>
  <c r="O32" i="3" s="1"/>
  <c r="K32" i="3"/>
  <c r="M32" i="3"/>
  <c r="P32" i="3"/>
  <c r="Q32" i="3"/>
  <c r="T33" i="3" l="1"/>
  <c r="S32" i="3"/>
  <c r="R32" i="3"/>
  <c r="C31" i="3"/>
  <c r="P31" i="3" s="1"/>
  <c r="B31" i="3"/>
  <c r="K31" i="3" s="1"/>
  <c r="D31" i="3"/>
  <c r="Q31" i="3" s="1"/>
  <c r="O31" i="3"/>
  <c r="T32" i="3" l="1"/>
  <c r="M31" i="3"/>
  <c r="L31" i="3"/>
  <c r="S31" i="3" s="1"/>
  <c r="R31" i="3"/>
  <c r="C30" i="3"/>
  <c r="P30" i="3" s="1"/>
  <c r="B30" i="3"/>
  <c r="K30" i="3" s="1"/>
  <c r="D30" i="3"/>
  <c r="Q30" i="3" s="1"/>
  <c r="O30" i="3"/>
  <c r="T31" i="3" l="1"/>
  <c r="L30" i="3"/>
  <c r="M30" i="3"/>
  <c r="S30" i="3"/>
  <c r="T30" i="3" s="1"/>
  <c r="R30" i="3"/>
  <c r="D29" i="3" l="1"/>
  <c r="C29" i="3"/>
  <c r="B29" i="3"/>
  <c r="M29" i="3" l="1"/>
  <c r="P29" i="3"/>
  <c r="K29" i="3"/>
  <c r="O29" i="3"/>
  <c r="Q29" i="3" l="1"/>
  <c r="L29" i="3"/>
  <c r="S29" i="3" s="1"/>
  <c r="T29" i="3" s="1"/>
  <c r="R29" i="3"/>
  <c r="D28" i="3"/>
  <c r="C28" i="3"/>
  <c r="B28" i="3"/>
  <c r="O28" i="3" l="1"/>
  <c r="L28" i="3"/>
  <c r="Q28" i="3"/>
  <c r="P28" i="3" l="1"/>
  <c r="R28" i="3" s="1"/>
  <c r="M28" i="3"/>
  <c r="K28" i="3"/>
  <c r="D27" i="3"/>
  <c r="M27" i="3" s="1"/>
  <c r="C27" i="3"/>
  <c r="B27" i="3"/>
  <c r="K27" i="3"/>
  <c r="L27" i="3"/>
  <c r="O27" i="3"/>
  <c r="P27" i="3"/>
  <c r="Q27" i="3"/>
  <c r="S28" i="3" l="1"/>
  <c r="T28" i="3" s="1"/>
  <c r="S27" i="3"/>
  <c r="T27" i="3" s="1"/>
  <c r="R27" i="3"/>
  <c r="K26" i="3" l="1"/>
  <c r="L26" i="3"/>
  <c r="M26" i="3"/>
  <c r="O26" i="3"/>
  <c r="P26" i="3"/>
  <c r="Q26" i="3"/>
  <c r="S26" i="3" l="1"/>
  <c r="T26" i="3" s="1"/>
  <c r="R26" i="3"/>
  <c r="D25" i="3"/>
  <c r="Q25" i="3" s="1"/>
  <c r="C25" i="3"/>
  <c r="L25" i="3" s="1"/>
  <c r="B25" i="3"/>
  <c r="K25" i="3" s="1"/>
  <c r="P25" i="3" l="1"/>
  <c r="M25" i="3"/>
  <c r="S25" i="3" s="1"/>
  <c r="T25" i="3" s="1"/>
  <c r="O25" i="3"/>
  <c r="D24" i="3"/>
  <c r="Q24" i="3" s="1"/>
  <c r="C24" i="3"/>
  <c r="L24" i="3" s="1"/>
  <c r="B24" i="3"/>
  <c r="O24" i="3" s="1"/>
  <c r="K24" i="3" l="1"/>
  <c r="M24" i="3"/>
  <c r="R25" i="3"/>
  <c r="P24" i="3"/>
  <c r="R24" i="3" s="1"/>
  <c r="B22" i="3"/>
  <c r="K22" i="3" s="1"/>
  <c r="D23" i="3"/>
  <c r="C23" i="3"/>
  <c r="B23" i="3"/>
  <c r="D22" i="3"/>
  <c r="M22" i="3" s="1"/>
  <c r="C22" i="3"/>
  <c r="L22" i="3" s="1"/>
  <c r="S24" i="3" l="1"/>
  <c r="T24" i="3" s="1"/>
  <c r="P22" i="3"/>
  <c r="O22" i="3"/>
  <c r="Q22" i="3"/>
  <c r="S22" i="3"/>
  <c r="D21" i="3"/>
  <c r="Q21" i="3" s="1"/>
  <c r="C21" i="3"/>
  <c r="P21" i="3" s="1"/>
  <c r="B21" i="3"/>
  <c r="O21" i="3" s="1"/>
  <c r="M21" i="3" l="1"/>
  <c r="K21" i="3"/>
  <c r="R22" i="3"/>
  <c r="T22" i="3"/>
  <c r="L21" i="3"/>
  <c r="R21" i="3"/>
  <c r="D20" i="3"/>
  <c r="Q20" i="3" s="1"/>
  <c r="C20" i="3"/>
  <c r="P20" i="3" s="1"/>
  <c r="B20" i="3"/>
  <c r="O20" i="3" s="1"/>
  <c r="N20" i="3"/>
  <c r="S21" i="3" l="1"/>
  <c r="T21" i="3" s="1"/>
  <c r="M20" i="3"/>
  <c r="L20" i="3"/>
  <c r="K20" i="3"/>
  <c r="R20" i="3"/>
  <c r="D19" i="3"/>
  <c r="Q19" i="3" s="1"/>
  <c r="C19" i="3"/>
  <c r="L19" i="3" s="1"/>
  <c r="B19" i="3"/>
  <c r="O19" i="3" s="1"/>
  <c r="K19" i="3" l="1"/>
  <c r="S20" i="3"/>
  <c r="T20" i="3" s="1"/>
  <c r="P19" i="3"/>
  <c r="R19" i="3" s="1"/>
  <c r="M19" i="3"/>
  <c r="D18" i="3"/>
  <c r="M18" i="3" s="1"/>
  <c r="C18" i="3"/>
  <c r="P18" i="3" s="1"/>
  <c r="B18" i="3"/>
  <c r="K18" i="3" s="1"/>
  <c r="S19" i="3" l="1"/>
  <c r="T19" i="3" s="1"/>
  <c r="Q18" i="3"/>
  <c r="O18" i="3"/>
  <c r="L18" i="3"/>
  <c r="S18" i="3" s="1"/>
  <c r="T18" i="3" s="1"/>
  <c r="D17" i="3"/>
  <c r="M17" i="3" s="1"/>
  <c r="C17" i="3"/>
  <c r="P17" i="3" s="1"/>
  <c r="B17" i="3"/>
  <c r="O17" i="3" s="1"/>
  <c r="R18" i="3" l="1"/>
  <c r="Q17" i="3"/>
  <c r="R17" i="3" s="1"/>
  <c r="L17" i="3"/>
  <c r="K17" i="3"/>
  <c r="D16" i="3"/>
  <c r="Q16" i="3" s="1"/>
  <c r="C16" i="3"/>
  <c r="P16" i="3" s="1"/>
  <c r="B16" i="3"/>
  <c r="K16" i="3" s="1"/>
  <c r="S17" i="3" l="1"/>
  <c r="T17" i="3" s="1"/>
  <c r="O16" i="3"/>
  <c r="R16" i="3" s="1"/>
  <c r="M16" i="3"/>
  <c r="L16" i="3"/>
  <c r="B15" i="3"/>
  <c r="O15" i="3" s="1"/>
  <c r="D15" i="3"/>
  <c r="Q15" i="3" s="1"/>
  <c r="C15" i="3"/>
  <c r="P15" i="3" s="1"/>
  <c r="S16" i="3" l="1"/>
  <c r="T16" i="3" s="1"/>
  <c r="M15" i="3"/>
  <c r="K15" i="3"/>
  <c r="L15" i="3"/>
  <c r="R15" i="3"/>
  <c r="D14" i="3"/>
  <c r="Q14" i="3" s="1"/>
  <c r="C14" i="3"/>
  <c r="P14" i="3" s="1"/>
  <c r="B14" i="3"/>
  <c r="K14" i="3" s="1"/>
  <c r="S15" i="3" l="1"/>
  <c r="T15" i="3" s="1"/>
  <c r="O14" i="3"/>
  <c r="R14" i="3" s="1"/>
  <c r="M14" i="3"/>
  <c r="L14" i="3"/>
  <c r="D13" i="3"/>
  <c r="Q13" i="3" s="1"/>
  <c r="C13" i="3"/>
  <c r="P13" i="3" s="1"/>
  <c r="B13" i="3"/>
  <c r="O13" i="3" s="1"/>
  <c r="S14" i="3" l="1"/>
  <c r="T14" i="3" s="1"/>
  <c r="M13" i="3"/>
  <c r="K13" i="3"/>
  <c r="R13" i="3"/>
  <c r="L13" i="3"/>
  <c r="D12" i="3"/>
  <c r="M12" i="3" s="1"/>
  <c r="C12" i="3"/>
  <c r="L12" i="3" s="1"/>
  <c r="B12" i="3"/>
  <c r="O12" i="3" s="1"/>
  <c r="K12" i="3" l="1"/>
  <c r="S13" i="3"/>
  <c r="T13" i="3" s="1"/>
  <c r="P12" i="3"/>
  <c r="Q12" i="3"/>
  <c r="S12" i="3"/>
  <c r="T12" i="3" s="1"/>
  <c r="C11" i="3"/>
  <c r="P11" i="3" s="1"/>
  <c r="D11" i="3"/>
  <c r="M11" i="3" s="1"/>
  <c r="B11" i="3"/>
  <c r="K11" i="3" s="1"/>
  <c r="K23" i="3"/>
  <c r="L23" i="3"/>
  <c r="M23" i="3"/>
  <c r="O23" i="3"/>
  <c r="P23" i="3"/>
  <c r="Q23" i="3"/>
  <c r="R12" i="3" l="1"/>
  <c r="Q11" i="3"/>
  <c r="S23" i="3"/>
  <c r="T23" i="3" s="1"/>
  <c r="O11" i="3"/>
  <c r="L11" i="3"/>
  <c r="S11" i="3" s="1"/>
  <c r="T11" i="3" s="1"/>
  <c r="R23" i="3"/>
  <c r="R11" i="3" l="1"/>
</calcChain>
</file>

<file path=xl/sharedStrings.xml><?xml version="1.0" encoding="utf-8"?>
<sst xmlns="http://schemas.openxmlformats.org/spreadsheetml/2006/main" count="32" uniqueCount="23">
  <si>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</si>
  <si>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</si>
  <si>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</si>
  <si>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</si>
  <si>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</si>
  <si>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</si>
  <si>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</si>
  <si>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</si>
  <si>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</si>
  <si>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</si>
  <si>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M</t>
  </si>
  <si>
    <t>P</t>
  </si>
  <si>
    <t>D</t>
  </si>
  <si>
    <t>S/IVA</t>
  </si>
  <si>
    <t>TOTAL IEPS</t>
  </si>
  <si>
    <t>MAG. PREM. DISEL</t>
  </si>
  <si>
    <t>TRABAJO DEL DÍA</t>
  </si>
  <si>
    <t>CAMBIO DE PRECIO</t>
  </si>
  <si>
    <t>MODIFICACIÓN DE INFORMACIÓN</t>
  </si>
  <si>
    <t>PRECIOS CON IVA</t>
  </si>
  <si>
    <t>IMPORTES</t>
  </si>
  <si>
    <t>DÍA</t>
  </si>
  <si>
    <t>ESTACION-2591  (ENERO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</si>
</sst>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9" tint="-0.499984740745262"/>
      <name val="Arial"/>
      <family val="2"/>
    </font>
    <font>
      <sz val="14"/>
      <color rgb="FFFF0000"/>
      <name val="Arial"/>
      <family val="2"/>
    </font>
    <font>
      <b/>
      <i/>
      <sz val="14"/>
      <color theme="0"/>
      <name val="Arial"/>
      <family val="2"/>
    </font>
    <font>
      <b/>
      <sz val="19"/>
      <name val="Bookman Old Style"/>
      <family val="1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9" borderId="0" xfId="1" applyFont="1" applyFill="1" applyBorder="1"/>
    <xf numFmtId="0" fontId="2" fillId="9" borderId="0" xfId="1" applyFont="1" applyFill="1"/>
    <xf numFmtId="0" fontId="2" fillId="11" borderId="7" xfId="1" applyFont="1" applyFill="1" applyBorder="1"/>
    <xf numFmtId="0" fontId="2" fillId="10" borderId="7" xfId="1" applyFont="1" applyFill="1" applyBorder="1"/>
    <xf numFmtId="2" fontId="2" fillId="9" borderId="0" xfId="1" applyNumberFormat="1" applyFont="1" applyFill="1"/>
    <xf numFmtId="0" fontId="2" fillId="13" borderId="7" xfId="1" applyFont="1" applyFill="1" applyBorder="1"/>
    <xf numFmtId="0" fontId="7" fillId="10" borderId="4" xfId="1" applyFont="1" applyFill="1" applyBorder="1" applyAlignment="1">
      <alignment horizontal="center"/>
    </xf>
    <xf numFmtId="0" fontId="7" fillId="10" borderId="9" xfId="1" applyFont="1" applyFill="1" applyBorder="1" applyAlignment="1">
      <alignment horizontal="center"/>
    </xf>
    <xf numFmtId="0" fontId="7" fillId="10" borderId="5" xfId="1" applyFont="1" applyFill="1" applyBorder="1" applyAlignment="1">
      <alignment horizontal="center"/>
    </xf>
    <xf numFmtId="0" fontId="7" fillId="10" borderId="6" xfId="1" applyFont="1" applyFill="1" applyBorder="1" applyAlignment="1">
      <alignment horizontal="center"/>
    </xf>
    <xf numFmtId="0" fontId="9" fillId="9" borderId="0" xfId="1" applyFont="1" applyFill="1" applyBorder="1"/>
    <xf numFmtId="2" fontId="2" fillId="9" borderId="0" xfId="1" applyNumberFormat="1" applyFont="1" applyFill="1" applyBorder="1"/>
    <xf numFmtId="0" fontId="5" fillId="5" borderId="13" xfId="1" applyFont="1" applyFill="1" applyBorder="1" applyAlignment="1">
      <alignment horizontal="center"/>
    </xf>
    <xf numFmtId="0" fontId="5" fillId="6" borderId="13" xfId="1" applyFont="1" applyFill="1" applyBorder="1" applyAlignment="1">
      <alignment horizontal="center"/>
    </xf>
    <xf numFmtId="0" fontId="10" fillId="14" borderId="13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/>
    </xf>
    <xf numFmtId="0" fontId="3" fillId="6" borderId="13" xfId="1" applyFont="1" applyFill="1" applyBorder="1" applyAlignment="1">
      <alignment horizontal="center"/>
    </xf>
    <xf numFmtId="0" fontId="3" fillId="7" borderId="13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9" fontId="3" fillId="3" borderId="13" xfId="1" applyNumberFormat="1" applyFont="1" applyFill="1" applyBorder="1" applyAlignment="1">
      <alignment horizontal="center"/>
    </xf>
    <xf numFmtId="9" fontId="3" fillId="3" borderId="14" xfId="1" applyNumberFormat="1" applyFont="1" applyFill="1" applyBorder="1" applyAlignment="1">
      <alignment horizontal="center"/>
    </xf>
    <xf numFmtId="16" fontId="2" fillId="9" borderId="10" xfId="1" applyNumberFormat="1" applyFont="1" applyFill="1" applyBorder="1" applyAlignment="1">
      <alignment horizontal="center"/>
    </xf>
    <xf numFmtId="2" fontId="2" fillId="9" borderId="11" xfId="1" applyNumberFormat="1" applyFont="1" applyFill="1" applyBorder="1" applyAlignment="1">
      <alignment horizontal="center"/>
    </xf>
    <xf numFmtId="0" fontId="2" fillId="9" borderId="11" xfId="1" applyFont="1" applyFill="1" applyBorder="1" applyAlignment="1">
      <alignment horizontal="center"/>
    </xf>
    <xf numFmtId="2" fontId="4" fillId="9" borderId="11" xfId="1" applyNumberFormat="1" applyFont="1" applyFill="1" applyBorder="1" applyAlignment="1">
      <alignment horizontal="center"/>
    </xf>
    <xf numFmtId="164" fontId="2" fillId="9" borderId="11" xfId="1" applyNumberFormat="1" applyFont="1" applyFill="1" applyBorder="1"/>
    <xf numFmtId="2" fontId="2" fillId="9" borderId="11" xfId="1" applyNumberFormat="1" applyFont="1" applyFill="1" applyBorder="1"/>
    <xf numFmtId="2" fontId="2" fillId="9" borderId="12" xfId="1" applyNumberFormat="1" applyFont="1" applyFill="1" applyBorder="1"/>
    <xf numFmtId="2" fontId="2" fillId="15" borderId="11" xfId="1" applyNumberFormat="1" applyFont="1" applyFill="1" applyBorder="1"/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/>
    <xf numFmtId="0" fontId="2" fillId="0" borderId="0" xfId="1" applyFont="1" applyFill="1" applyBorder="1"/>
    <xf numFmtId="0" fontId="2" fillId="0" borderId="7" xfId="1" applyFont="1" applyFill="1" applyBorder="1" applyAlignment="1">
      <alignment horizontal="center"/>
    </xf>
    <xf numFmtId="0" fontId="2" fillId="17" borderId="0" xfId="1" applyFont="1" applyFill="1"/>
    <xf numFmtId="2" fontId="12" fillId="18" borderId="11" xfId="1" applyNumberFormat="1" applyFont="1" applyFill="1" applyBorder="1" applyAlignment="1">
      <alignment horizontal="center"/>
    </xf>
    <xf numFmtId="164" fontId="12" fillId="18" borderId="11" xfId="1" applyNumberFormat="1" applyFont="1" applyFill="1" applyBorder="1"/>
    <xf numFmtId="2" fontId="2" fillId="0" borderId="11" xfId="1" applyNumberFormat="1" applyFont="1" applyFill="1" applyBorder="1"/>
    <xf numFmtId="2" fontId="2" fillId="0" borderId="12" xfId="1" applyNumberFormat="1" applyFont="1" applyFill="1" applyBorder="1"/>
    <xf numFmtId="16" fontId="2" fillId="0" borderId="10" xfId="1" applyNumberFormat="1" applyFont="1" applyFill="1" applyBorder="1" applyAlignment="1">
      <alignment horizontal="center"/>
    </xf>
    <xf numFmtId="2" fontId="12" fillId="0" borderId="11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/>
    <xf numFmtId="2" fontId="4" fillId="18" borderId="11" xfId="1" applyNumberFormat="1" applyFont="1" applyFill="1" applyBorder="1" applyAlignment="1">
      <alignment horizontal="center"/>
    </xf>
    <xf numFmtId="2" fontId="2" fillId="18" borderId="11" xfId="1" applyNumberFormat="1" applyFont="1" applyFill="1" applyBorder="1" applyAlignment="1">
      <alignment horizontal="center"/>
    </xf>
    <xf numFmtId="164" fontId="2" fillId="18" borderId="11" xfId="1" applyNumberFormat="1" applyFont="1" applyFill="1" applyBorder="1"/>
    <xf numFmtId="2" fontId="4" fillId="0" borderId="11" xfId="1" applyNumberFormat="1" applyFont="1" applyFill="1" applyBorder="1" applyAlignment="1">
      <alignment horizontal="center"/>
    </xf>
    <xf numFmtId="2" fontId="2" fillId="0" borderId="1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/>
    <xf numFmtId="16" fontId="2" fillId="19" borderId="10" xfId="1" applyNumberFormat="1" applyFont="1" applyFill="1" applyBorder="1" applyAlignment="1">
      <alignment horizontal="center"/>
    </xf>
    <xf numFmtId="16" fontId="2" fillId="10" borderId="10" xfId="1" applyNumberFormat="1" applyFont="1" applyFill="1" applyBorder="1" applyAlignment="1">
      <alignment horizontal="center"/>
    </xf>
    <xf numFmtId="2" fontId="2" fillId="10" borderId="11" xfId="1" applyNumberFormat="1" applyFont="1" applyFill="1" applyBorder="1"/>
    <xf numFmtId="2" fontId="2" fillId="9" borderId="7" xfId="1" applyNumberFormat="1" applyFont="1" applyFill="1" applyBorder="1"/>
    <xf numFmtId="164" fontId="2" fillId="9" borderId="13" xfId="1" applyNumberFormat="1" applyFont="1" applyFill="1" applyBorder="1"/>
    <xf numFmtId="164" fontId="2" fillId="9" borderId="7" xfId="1" applyNumberFormat="1" applyFont="1" applyFill="1" applyBorder="1"/>
    <xf numFmtId="0" fontId="8" fillId="10" borderId="4" xfId="1" applyFont="1" applyFill="1" applyBorder="1" applyAlignment="1">
      <alignment horizontal="center"/>
    </xf>
    <xf numFmtId="0" fontId="8" fillId="10" borderId="5" xfId="1" applyFont="1" applyFill="1" applyBorder="1" applyAlignment="1">
      <alignment horizontal="center"/>
    </xf>
    <xf numFmtId="0" fontId="8" fillId="10" borderId="9" xfId="1" applyFont="1" applyFill="1" applyBorder="1" applyAlignment="1">
      <alignment horizontal="center"/>
    </xf>
    <xf numFmtId="0" fontId="11" fillId="12" borderId="1" xfId="1" applyFont="1" applyFill="1" applyBorder="1" applyAlignment="1">
      <alignment horizontal="center" vertical="center"/>
    </xf>
    <xf numFmtId="0" fontId="11" fillId="12" borderId="2" xfId="1" applyFont="1" applyFill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top"/>
    </xf>
    <xf numFmtId="0" fontId="3" fillId="16" borderId="9" xfId="1" applyFont="1" applyFill="1" applyBorder="1" applyAlignment="1">
      <alignment horizontal="center" vertical="center" textRotation="45" wrapText="1"/>
    </xf>
    <xf numFmtId="0" fontId="3" fillId="16" borderId="15" xfId="1" applyFont="1" applyFill="1" applyBorder="1" applyAlignment="1">
      <alignment horizontal="center" vertical="center" textRotation="45" wrapText="1"/>
    </xf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84"/>
  <sheetViews>
    <sheetView tabSelected="1" zoomScale="90" zoomScaleNormal="90" workbookViewId="0">
      <selection activeCell="T39" sqref="T39"/>
    </sheetView>
  </sheetViews>
  <sheetFormatPr baseColWidth="10" defaultColWidth="11.7109375" defaultRowHeight="18" x14ac:dyDescent="0.25"/>
  <cols>
    <col min="1" max="8" width="15.7109375" style="1" customWidth="1"/>
    <col min="9" max="9" width="16" style="1" customWidth="1"/>
    <col min="10" max="17" width="15.7109375" style="1" customWidth="1"/>
    <col min="18" max="18" width="19.42578125" style="1" customWidth="1"/>
    <col min="19" max="19" width="26.85546875" style="1" customWidth="1"/>
    <col min="20" max="20" width="15.7109375" style="1" customWidth="1"/>
    <col min="21" max="22" width="14.5703125" style="1" bestFit="1" customWidth="1"/>
    <col min="23" max="24" width="13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141" ht="12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141" ht="1.5" customHeight="1" thickBot="1" x14ac:dyDescent="0.3"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141" ht="31.5" customHeight="1" thickBot="1" x14ac:dyDescent="0.3">
      <c r="A3" s="62" t="s">
        <v>22</v>
      </c>
      <c r="B3" s="63"/>
      <c r="C3" s="63"/>
      <c r="D3" s="63"/>
      <c r="E3" s="63"/>
      <c r="F3" s="63"/>
      <c r="G3" s="63"/>
      <c r="H3" s="63"/>
      <c r="I3" s="63"/>
      <c r="J3" s="64"/>
      <c r="K3" s="65"/>
      <c r="L3" s="65"/>
      <c r="M3" s="65"/>
      <c r="N3" s="65"/>
      <c r="O3" s="65"/>
      <c r="P3" s="65"/>
      <c r="Q3" s="65"/>
      <c r="R3" s="3"/>
      <c r="S3" s="3"/>
      <c r="T3" s="3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41" s="3" customFormat="1" ht="18" customHeight="1" thickBot="1" x14ac:dyDescent="0.35">
      <c r="A4" s="66" t="s">
        <v>21</v>
      </c>
      <c r="B4" s="61" t="s">
        <v>20</v>
      </c>
      <c r="C4" s="59"/>
      <c r="D4" s="60"/>
      <c r="E4" s="59" t="s">
        <v>19</v>
      </c>
      <c r="F4" s="59"/>
      <c r="G4" s="60"/>
      <c r="H4" s="61" t="s">
        <v>0</v>
      </c>
      <c r="I4" s="59"/>
      <c r="J4" s="60"/>
      <c r="K4" s="61" t="s">
        <v>1</v>
      </c>
      <c r="L4" s="59"/>
      <c r="M4" s="60"/>
      <c r="N4" s="8" t="s">
        <v>2</v>
      </c>
      <c r="O4" s="9"/>
      <c r="P4" s="8" t="s">
        <v>3</v>
      </c>
      <c r="Q4" s="10"/>
      <c r="R4" s="10" t="s">
        <v>4</v>
      </c>
      <c r="S4" s="11" t="s">
        <v>5</v>
      </c>
      <c r="T4" s="11" t="s">
        <v>6</v>
      </c>
      <c r="U4" s="2"/>
    </row>
    <row r="5" spans="1:141" ht="18" customHeight="1" thickBot="1" x14ac:dyDescent="0.35">
      <c r="A5" s="67"/>
      <c r="B5" s="14" t="s">
        <v>7</v>
      </c>
      <c r="C5" s="15" t="s">
        <v>8</v>
      </c>
      <c r="D5" s="16" t="s">
        <v>9</v>
      </c>
      <c r="E5" s="17" t="s">
        <v>10</v>
      </c>
      <c r="F5" s="17" t="s">
        <v>11</v>
      </c>
      <c r="G5" s="17" t="s">
        <v>12</v>
      </c>
      <c r="H5" s="17" t="s">
        <v>7</v>
      </c>
      <c r="I5" s="17" t="s">
        <v>8</v>
      </c>
      <c r="J5" s="17" t="s">
        <v>9</v>
      </c>
      <c r="K5" s="18" t="s">
        <v>7</v>
      </c>
      <c r="L5" s="19" t="s">
        <v>8</v>
      </c>
      <c r="M5" s="20" t="s">
        <v>9</v>
      </c>
      <c r="N5" s="21" t="s">
        <v>13</v>
      </c>
      <c r="O5" s="22" t="s">
        <v>7</v>
      </c>
      <c r="P5" s="22" t="s">
        <v>8</v>
      </c>
      <c r="Q5" s="22" t="s">
        <v>9</v>
      </c>
      <c r="R5" s="23" t="s">
        <v>14</v>
      </c>
      <c r="S5" s="24" t="s">
        <v>15</v>
      </c>
      <c r="T5" s="25">
        <v>0.16</v>
      </c>
      <c r="U5" s="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</row>
    <row r="6" spans="1:141" s="3" customFormat="1" ht="18" customHeight="1" thickBot="1" x14ac:dyDescent="0.3">
      <c r="A6" s="26">
        <v>43132</v>
      </c>
      <c r="B6" s="27"/>
      <c r="C6" s="27"/>
      <c r="D6" s="28"/>
      <c r="E6" s="29"/>
      <c r="F6" s="27"/>
      <c r="G6" s="27"/>
      <c r="H6" s="30"/>
      <c r="I6" s="30"/>
      <c r="J6" s="30"/>
      <c r="K6" s="31"/>
      <c r="L6" s="31"/>
      <c r="M6" s="31"/>
      <c r="N6" s="33"/>
      <c r="O6" s="31"/>
      <c r="P6" s="31"/>
      <c r="Q6" s="31"/>
      <c r="R6" s="31"/>
      <c r="S6" s="33"/>
      <c r="T6" s="32"/>
      <c r="U6" s="2"/>
    </row>
    <row r="7" spans="1:141" s="3" customFormat="1" ht="18" customHeight="1" thickBot="1" x14ac:dyDescent="0.3">
      <c r="A7" s="26">
        <v>43133</v>
      </c>
      <c r="B7" s="34"/>
      <c r="C7" s="34"/>
      <c r="D7" s="38"/>
      <c r="E7" s="29"/>
      <c r="F7" s="27"/>
      <c r="G7" s="27"/>
      <c r="H7" s="30"/>
      <c r="I7" s="30"/>
      <c r="J7" s="30"/>
      <c r="K7" s="31"/>
      <c r="L7" s="31"/>
      <c r="M7" s="31"/>
      <c r="N7" s="33"/>
      <c r="O7" s="31"/>
      <c r="P7" s="31"/>
      <c r="Q7" s="31"/>
      <c r="R7" s="31"/>
      <c r="S7" s="33"/>
      <c r="T7" s="32"/>
      <c r="U7" s="2"/>
    </row>
    <row r="8" spans="1:141" s="3" customFormat="1" ht="18" customHeight="1" thickBot="1" x14ac:dyDescent="0.3">
      <c r="A8" s="26">
        <v>43134</v>
      </c>
      <c r="B8" s="34"/>
      <c r="C8" s="34"/>
      <c r="D8" s="38"/>
      <c r="E8" s="29"/>
      <c r="F8" s="27"/>
      <c r="G8" s="27"/>
      <c r="H8" s="30"/>
      <c r="I8" s="30"/>
      <c r="J8" s="30"/>
      <c r="K8" s="31"/>
      <c r="L8" s="31"/>
      <c r="M8" s="31"/>
      <c r="N8" s="33"/>
      <c r="O8" s="31"/>
      <c r="P8" s="31"/>
      <c r="Q8" s="31"/>
      <c r="R8" s="31"/>
      <c r="S8" s="33"/>
      <c r="T8" s="32"/>
      <c r="U8" s="2"/>
    </row>
    <row r="9" spans="1:141" s="3" customFormat="1" ht="18" customHeight="1" thickBot="1" x14ac:dyDescent="0.3">
      <c r="A9" s="26">
        <v>43135</v>
      </c>
      <c r="B9" s="34"/>
      <c r="C9" s="34"/>
      <c r="D9" s="38"/>
      <c r="E9" s="29"/>
      <c r="F9" s="27"/>
      <c r="G9" s="27"/>
      <c r="H9" s="30"/>
      <c r="I9" s="30"/>
      <c r="J9" s="30"/>
      <c r="K9" s="31"/>
      <c r="L9" s="31"/>
      <c r="M9" s="31"/>
      <c r="N9" s="33"/>
      <c r="O9" s="31"/>
      <c r="P9" s="31"/>
      <c r="Q9" s="31"/>
      <c r="R9" s="31"/>
      <c r="S9" s="33"/>
      <c r="T9" s="32"/>
      <c r="U9" s="2"/>
    </row>
    <row r="10" spans="1:141" s="3" customFormat="1" ht="18" customHeight="1" thickBot="1" x14ac:dyDescent="0.3">
      <c r="A10" s="26">
        <v>43136</v>
      </c>
      <c r="B10" s="34"/>
      <c r="C10" s="34"/>
      <c r="D10" s="38"/>
      <c r="E10" s="29"/>
      <c r="F10" s="27"/>
      <c r="G10" s="27"/>
      <c r="H10" s="30"/>
      <c r="I10" s="30"/>
      <c r="J10" s="30"/>
      <c r="K10" s="31"/>
      <c r="L10" s="31"/>
      <c r="M10" s="31"/>
      <c r="N10" s="33"/>
      <c r="O10" s="31"/>
      <c r="P10" s="31"/>
      <c r="Q10" s="31"/>
      <c r="R10" s="31"/>
      <c r="S10" s="33"/>
      <c r="T10" s="32"/>
      <c r="U10" s="2"/>
    </row>
    <row r="11" spans="1:141" s="39" customFormat="1" ht="18" customHeight="1" thickBot="1" x14ac:dyDescent="0.3">
      <c r="A11" s="26">
        <v>43137</v>
      </c>
      <c r="B11" s="34">
        <f>5082.94+563+6652</f>
        <v>12297.939999999999</v>
      </c>
      <c r="C11" s="34">
        <f>1113.29+124+1188</f>
        <v>2425.29</v>
      </c>
      <c r="D11" s="38">
        <f>1083+55.53</f>
        <v>1138.53</v>
      </c>
      <c r="E11" s="40">
        <v>17.350000000000001</v>
      </c>
      <c r="F11" s="40">
        <v>19.149999999999999</v>
      </c>
      <c r="G11" s="40">
        <v>18.350000000000001</v>
      </c>
      <c r="H11" s="41">
        <v>14.607586</v>
      </c>
      <c r="I11" s="41">
        <v>16.082414</v>
      </c>
      <c r="J11" s="41">
        <v>15.529052</v>
      </c>
      <c r="K11" s="42">
        <f t="shared" ref="K11" si="0">B11*H11</f>
        <v>179643.21617283998</v>
      </c>
      <c r="L11" s="42">
        <f t="shared" ref="L11" si="1">C11*I11</f>
        <v>39004.517850060001</v>
      </c>
      <c r="M11" s="42">
        <f t="shared" ref="M11" si="2">D11*J11</f>
        <v>17680.29157356</v>
      </c>
      <c r="N11" s="42">
        <v>431.04</v>
      </c>
      <c r="O11" s="42">
        <f t="shared" ref="O11" si="3">B11*0.4052</f>
        <v>4983.1252879999993</v>
      </c>
      <c r="P11" s="42">
        <f t="shared" ref="P11" si="4">C11*0.4944</f>
        <v>1199.0633760000001</v>
      </c>
      <c r="Q11" s="42">
        <f t="shared" ref="Q11" si="5">D11*0.3363</f>
        <v>382.88763899999998</v>
      </c>
      <c r="R11" s="42">
        <f t="shared" ref="R11" si="6">O11+P11+Q11</f>
        <v>6565.0763029999989</v>
      </c>
      <c r="S11" s="42">
        <f t="shared" ref="S11" si="7">SUM(K11+L11+M11+N11)</f>
        <v>236759.06559646002</v>
      </c>
      <c r="T11" s="43">
        <f t="shared" ref="T11" si="8">S11*16%</f>
        <v>37881.450495433601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141" s="35" customFormat="1" ht="18" customHeight="1" thickBot="1" x14ac:dyDescent="0.3">
      <c r="A12" s="44">
        <v>43138</v>
      </c>
      <c r="B12" s="34">
        <f>5063+702+5972</f>
        <v>11737</v>
      </c>
      <c r="C12" s="34">
        <f>770+106+1233-11.96</f>
        <v>2097.04</v>
      </c>
      <c r="D12" s="38">
        <f>462+100+985-4.03</f>
        <v>1542.97</v>
      </c>
      <c r="E12" s="45">
        <v>17.350000000000001</v>
      </c>
      <c r="F12" s="45">
        <v>19.149999999999999</v>
      </c>
      <c r="G12" s="45">
        <v>18.350000000000001</v>
      </c>
      <c r="H12" s="46">
        <v>14.607586</v>
      </c>
      <c r="I12" s="46">
        <v>16.082414</v>
      </c>
      <c r="J12" s="46">
        <v>15.529052</v>
      </c>
      <c r="K12" s="42">
        <f t="shared" ref="K12" si="9">B12*H12</f>
        <v>171449.236882</v>
      </c>
      <c r="L12" s="42">
        <f t="shared" ref="L12" si="10">C12*I12</f>
        <v>33725.465454559999</v>
      </c>
      <c r="M12" s="42">
        <f t="shared" ref="M12" si="11">D12*J12</f>
        <v>23960.861364439999</v>
      </c>
      <c r="N12" s="42">
        <v>86.21</v>
      </c>
      <c r="O12" s="42">
        <f t="shared" ref="O12" si="12">B12*0.4052</f>
        <v>4755.8324000000002</v>
      </c>
      <c r="P12" s="42">
        <f t="shared" ref="P12" si="13">C12*0.4944</f>
        <v>1036.776576</v>
      </c>
      <c r="Q12" s="42">
        <f t="shared" ref="Q12" si="14">D12*0.3363</f>
        <v>518.90081099999998</v>
      </c>
      <c r="R12" s="42">
        <f t="shared" ref="R12" si="15">O12+P12+Q12</f>
        <v>6311.5097870000009</v>
      </c>
      <c r="S12" s="42">
        <f t="shared" ref="S12" si="16">SUM(K12+L12+M12+N12)</f>
        <v>229221.773701</v>
      </c>
      <c r="T12" s="43">
        <f t="shared" ref="T12" si="17">S12*16%</f>
        <v>36675.483792159997</v>
      </c>
    </row>
    <row r="13" spans="1:141" s="35" customFormat="1" ht="18" customHeight="1" thickBot="1" x14ac:dyDescent="0.3">
      <c r="A13" s="44">
        <v>43139</v>
      </c>
      <c r="B13" s="34">
        <f>5912+5788.5+659</f>
        <v>12359.5</v>
      </c>
      <c r="C13" s="34">
        <f>178+959+1116</f>
        <v>2253</v>
      </c>
      <c r="D13" s="38">
        <f>269+789+73</f>
        <v>1131</v>
      </c>
      <c r="E13" s="45">
        <v>17.350000000000001</v>
      </c>
      <c r="F13" s="45">
        <v>19.149999999999999</v>
      </c>
      <c r="G13" s="45">
        <v>18.350000000000001</v>
      </c>
      <c r="H13" s="46">
        <v>14.607586</v>
      </c>
      <c r="I13" s="46">
        <v>16.082414</v>
      </c>
      <c r="J13" s="46">
        <v>15.529052</v>
      </c>
      <c r="K13" s="42">
        <f t="shared" ref="K13" si="18">B13*H13</f>
        <v>180542.45916699999</v>
      </c>
      <c r="L13" s="42">
        <f t="shared" ref="L13" si="19">C13*I13</f>
        <v>36233.678741999996</v>
      </c>
      <c r="M13" s="42">
        <f t="shared" ref="M13" si="20">D13*J13</f>
        <v>17563.357811999998</v>
      </c>
      <c r="N13" s="42">
        <v>603.45000000000005</v>
      </c>
      <c r="O13" s="42">
        <f t="shared" ref="O13" si="21">B13*0.4052</f>
        <v>5008.0694000000003</v>
      </c>
      <c r="P13" s="42">
        <f t="shared" ref="P13" si="22">C13*0.4944</f>
        <v>1113.8832</v>
      </c>
      <c r="Q13" s="42">
        <f t="shared" ref="Q13" si="23">D13*0.3363</f>
        <v>380.3553</v>
      </c>
      <c r="R13" s="42">
        <f t="shared" ref="R13" si="24">O13+P13+Q13</f>
        <v>6502.3079000000007</v>
      </c>
      <c r="S13" s="42">
        <f t="shared" ref="S13" si="25">SUM(K13+L13+M13+N13)</f>
        <v>234942.945721</v>
      </c>
      <c r="T13" s="43">
        <f t="shared" ref="T13" si="26">S13*16%</f>
        <v>37590.871315360004</v>
      </c>
    </row>
    <row r="14" spans="1:141" s="35" customFormat="1" ht="18" customHeight="1" thickBot="1" x14ac:dyDescent="0.3">
      <c r="A14" s="44">
        <v>43140</v>
      </c>
      <c r="B14" s="34">
        <f>7159+736+6390-11.78</f>
        <v>14273.22</v>
      </c>
      <c r="C14" s="34">
        <f>1108+136+1848-2.086</f>
        <v>3089.9140000000002</v>
      </c>
      <c r="D14" s="38">
        <f>951+100+129</f>
        <v>1180</v>
      </c>
      <c r="E14" s="45">
        <v>17.350000000000001</v>
      </c>
      <c r="F14" s="45">
        <v>19.149999999999999</v>
      </c>
      <c r="G14" s="45">
        <v>18.350000000000001</v>
      </c>
      <c r="H14" s="46">
        <v>14.607586</v>
      </c>
      <c r="I14" s="46">
        <v>16.082414</v>
      </c>
      <c r="J14" s="46">
        <v>15.529052</v>
      </c>
      <c r="K14" s="42">
        <f t="shared" ref="K14" si="27">B14*H14</f>
        <v>208497.28864691997</v>
      </c>
      <c r="L14" s="42">
        <f t="shared" ref="L14" si="28">C14*I14</f>
        <v>49693.276172396007</v>
      </c>
      <c r="M14" s="42">
        <f t="shared" ref="M14" si="29">D14*J14</f>
        <v>18324.281360000001</v>
      </c>
      <c r="N14" s="42">
        <v>258.62</v>
      </c>
      <c r="O14" s="42">
        <f t="shared" ref="O14" si="30">B14*0.4052</f>
        <v>5783.5087439999998</v>
      </c>
      <c r="P14" s="42">
        <f t="shared" ref="P14" si="31">C14*0.4944</f>
        <v>1527.6534816000001</v>
      </c>
      <c r="Q14" s="42">
        <f t="shared" ref="Q14" si="32">D14*0.3363</f>
        <v>396.834</v>
      </c>
      <c r="R14" s="42">
        <f t="shared" ref="R14" si="33">O14+P14+Q14</f>
        <v>7707.9962255999999</v>
      </c>
      <c r="S14" s="42">
        <f t="shared" ref="S14" si="34">SUM(K14+L14+M14+N14)</f>
        <v>276773.46617931599</v>
      </c>
      <c r="T14" s="43">
        <f t="shared" ref="T14" si="35">S14*16%</f>
        <v>44283.754588690557</v>
      </c>
    </row>
    <row r="15" spans="1:141" s="35" customFormat="1" ht="18" customHeight="1" thickBot="1" x14ac:dyDescent="0.3">
      <c r="A15" s="44">
        <v>43141</v>
      </c>
      <c r="B15" s="34">
        <f>6276+5441+1183-14.37</f>
        <v>12885.63</v>
      </c>
      <c r="C15" s="34">
        <f>191+959+1038</f>
        <v>2188</v>
      </c>
      <c r="D15" s="38">
        <f>531+11+34</f>
        <v>576</v>
      </c>
      <c r="E15" s="45">
        <v>17.350000000000001</v>
      </c>
      <c r="F15" s="45">
        <v>19.149999999999999</v>
      </c>
      <c r="G15" s="45">
        <v>18.350000000000001</v>
      </c>
      <c r="H15" s="46">
        <v>14.607586</v>
      </c>
      <c r="I15" s="46">
        <v>16.082414</v>
      </c>
      <c r="J15" s="46">
        <v>15.529052</v>
      </c>
      <c r="K15" s="42">
        <f t="shared" ref="K15" si="36">B15*H15</f>
        <v>188227.94838917998</v>
      </c>
      <c r="L15" s="42">
        <f t="shared" ref="L15" si="37">C15*I15</f>
        <v>35188.321832000001</v>
      </c>
      <c r="M15" s="42">
        <f t="shared" ref="M15" si="38">D15*J15</f>
        <v>8944.7339520000005</v>
      </c>
      <c r="N15" s="42">
        <v>258.62</v>
      </c>
      <c r="O15" s="42">
        <f t="shared" ref="O15" si="39">B15*0.4052</f>
        <v>5221.2572759999994</v>
      </c>
      <c r="P15" s="42">
        <f t="shared" ref="P15" si="40">C15*0.4944</f>
        <v>1081.7472</v>
      </c>
      <c r="Q15" s="42">
        <f t="shared" ref="Q15" si="41">D15*0.3363</f>
        <v>193.7088</v>
      </c>
      <c r="R15" s="42">
        <f t="shared" ref="R15" si="42">O15+P15+Q15</f>
        <v>6496.7132759999995</v>
      </c>
      <c r="S15" s="42">
        <f t="shared" ref="S15" si="43">SUM(K15+L15+M15+N15)</f>
        <v>232619.62417318</v>
      </c>
      <c r="T15" s="43">
        <f t="shared" ref="T15" si="44">S15*16%</f>
        <v>37219.1398677088</v>
      </c>
    </row>
    <row r="16" spans="1:141" s="35" customFormat="1" ht="18" customHeight="1" thickBot="1" x14ac:dyDescent="0.3">
      <c r="A16" s="44">
        <v>43142</v>
      </c>
      <c r="B16" s="34">
        <f>1175+4608+4096-16.26</f>
        <v>9862.74</v>
      </c>
      <c r="C16" s="34">
        <f>150+1277+823</f>
        <v>2250</v>
      </c>
      <c r="D16" s="38">
        <f>0+64+228</f>
        <v>292</v>
      </c>
      <c r="E16" s="45">
        <v>17.350000000000001</v>
      </c>
      <c r="F16" s="45">
        <v>19.149999999999999</v>
      </c>
      <c r="G16" s="45">
        <v>18.350000000000001</v>
      </c>
      <c r="H16" s="46">
        <v>14.607586</v>
      </c>
      <c r="I16" s="46">
        <v>16.082414</v>
      </c>
      <c r="J16" s="46">
        <v>15.529052</v>
      </c>
      <c r="K16" s="42">
        <f t="shared" ref="K16" si="45">B16*H16</f>
        <v>144070.82274564001</v>
      </c>
      <c r="L16" s="42">
        <f t="shared" ref="L16" si="46">C16*I16</f>
        <v>36185.431499999999</v>
      </c>
      <c r="M16" s="42">
        <f t="shared" ref="M16" si="47">D16*J16</f>
        <v>4534.4831839999997</v>
      </c>
      <c r="N16" s="42">
        <v>0</v>
      </c>
      <c r="O16" s="42">
        <f t="shared" ref="O16" si="48">B16*0.4052</f>
        <v>3996.3822479999999</v>
      </c>
      <c r="P16" s="42">
        <f t="shared" ref="P16" si="49">C16*0.4944</f>
        <v>1112.4000000000001</v>
      </c>
      <c r="Q16" s="42">
        <f t="shared" ref="Q16" si="50">D16*0.3363</f>
        <v>98.19959999999999</v>
      </c>
      <c r="R16" s="42">
        <f t="shared" ref="R16" si="51">O16+P16+Q16</f>
        <v>5206.9818479999994</v>
      </c>
      <c r="S16" s="42">
        <f t="shared" ref="S16" si="52">SUM(K16+L16+M16+N16)</f>
        <v>184790.73742964002</v>
      </c>
      <c r="T16" s="43">
        <f t="shared" ref="T16" si="53">S16*16%</f>
        <v>29566.517988742406</v>
      </c>
    </row>
    <row r="17" spans="1:28" s="35" customFormat="1" ht="18" customHeight="1" thickBot="1" x14ac:dyDescent="0.3">
      <c r="A17" s="44">
        <v>43143</v>
      </c>
      <c r="B17" s="34">
        <f>747+6944+5635-10.45</f>
        <v>13315.55</v>
      </c>
      <c r="C17" s="34">
        <f>77+889+1173</f>
        <v>2139</v>
      </c>
      <c r="D17" s="38">
        <f>162+1049+124</f>
        <v>1335</v>
      </c>
      <c r="E17" s="45">
        <v>17.350000000000001</v>
      </c>
      <c r="F17" s="45">
        <v>19.149999999999999</v>
      </c>
      <c r="G17" s="45">
        <v>18.350000000000001</v>
      </c>
      <c r="H17" s="46">
        <v>14.607586</v>
      </c>
      <c r="I17" s="46">
        <v>16.082414</v>
      </c>
      <c r="J17" s="46">
        <v>15.529052</v>
      </c>
      <c r="K17" s="42">
        <f t="shared" ref="K17" si="54">B17*H17</f>
        <v>194508.04176229998</v>
      </c>
      <c r="L17" s="42">
        <f t="shared" ref="L17" si="55">C17*I17</f>
        <v>34400.283545999999</v>
      </c>
      <c r="M17" s="42">
        <f t="shared" ref="M17" si="56">D17*J17</f>
        <v>20731.28442</v>
      </c>
      <c r="N17" s="42">
        <v>400.87</v>
      </c>
      <c r="O17" s="42">
        <f t="shared" ref="O17" si="57">B17*0.4052</f>
        <v>5395.4608600000001</v>
      </c>
      <c r="P17" s="42">
        <f t="shared" ref="P17" si="58">C17*0.4944</f>
        <v>1057.5216</v>
      </c>
      <c r="Q17" s="42">
        <f t="shared" ref="Q17" si="59">D17*0.3363</f>
        <v>448.96049999999997</v>
      </c>
      <c r="R17" s="42">
        <f t="shared" ref="R17" si="60">O17+P17+Q17</f>
        <v>6901.9429600000003</v>
      </c>
      <c r="S17" s="42">
        <f t="shared" ref="S17" si="61">SUM(K17+L17+M17+N17)</f>
        <v>250040.47972829998</v>
      </c>
      <c r="T17" s="43">
        <f t="shared" ref="T17" si="62">S17*16%</f>
        <v>40006.476756527998</v>
      </c>
    </row>
    <row r="18" spans="1:28" s="35" customFormat="1" ht="18" customHeight="1" thickBot="1" x14ac:dyDescent="0.3">
      <c r="A18" s="44">
        <v>43144</v>
      </c>
      <c r="B18" s="34">
        <f>5820+824+4890-13.9</f>
        <v>11520.1</v>
      </c>
      <c r="C18" s="34">
        <f>69+1047+922</f>
        <v>2038</v>
      </c>
      <c r="D18" s="38">
        <f>1007+0+148</f>
        <v>1155</v>
      </c>
      <c r="E18" s="45">
        <v>17.350000000000001</v>
      </c>
      <c r="F18" s="45">
        <v>19.149999999999999</v>
      </c>
      <c r="G18" s="45">
        <v>18.350000000000001</v>
      </c>
      <c r="H18" s="46">
        <v>14.607586</v>
      </c>
      <c r="I18" s="46">
        <v>16.082414</v>
      </c>
      <c r="J18" s="46">
        <v>15.529052</v>
      </c>
      <c r="K18" s="42">
        <f t="shared" ref="K18" si="63">B18*H18</f>
        <v>168280.8514786</v>
      </c>
      <c r="L18" s="42">
        <f t="shared" ref="L18" si="64">C18*I18</f>
        <v>32775.959732000003</v>
      </c>
      <c r="M18" s="42">
        <f t="shared" ref="M18" si="65">D18*J18</f>
        <v>17936.055059999999</v>
      </c>
      <c r="N18" s="42">
        <v>86.21</v>
      </c>
      <c r="O18" s="42">
        <f t="shared" ref="O18" si="66">B18*0.4052</f>
        <v>4667.94452</v>
      </c>
      <c r="P18" s="42">
        <f t="shared" ref="P18" si="67">C18*0.4944</f>
        <v>1007.5872000000001</v>
      </c>
      <c r="Q18" s="42">
        <f t="shared" ref="Q18" si="68">D18*0.3363</f>
        <v>388.42649999999998</v>
      </c>
      <c r="R18" s="42">
        <f t="shared" ref="R18" si="69">O18+P18+Q18</f>
        <v>6063.9582199999995</v>
      </c>
      <c r="S18" s="42">
        <f t="shared" ref="S18" si="70">SUM(K18+L18+M18+N18)</f>
        <v>219079.0762706</v>
      </c>
      <c r="T18" s="43">
        <f t="shared" ref="T18" si="71">S18*16%</f>
        <v>35052.652203295998</v>
      </c>
    </row>
    <row r="19" spans="1:28" s="35" customFormat="1" ht="18" customHeight="1" thickBot="1" x14ac:dyDescent="0.3">
      <c r="A19" s="44">
        <v>43145</v>
      </c>
      <c r="B19" s="34">
        <f>5682+5930+1004-16.66</f>
        <v>12599.34</v>
      </c>
      <c r="C19" s="34">
        <f>237+1169+808</f>
        <v>2214</v>
      </c>
      <c r="D19" s="38">
        <f>923+175+4</f>
        <v>1102</v>
      </c>
      <c r="E19" s="45">
        <v>17.350000000000001</v>
      </c>
      <c r="F19" s="45">
        <v>19.149999999999999</v>
      </c>
      <c r="G19" s="45">
        <v>18.350000000000001</v>
      </c>
      <c r="H19" s="46">
        <v>14.607586</v>
      </c>
      <c r="I19" s="46">
        <v>16.082414</v>
      </c>
      <c r="J19" s="46">
        <v>15.529052</v>
      </c>
      <c r="K19" s="42">
        <f t="shared" ref="K19" si="72">B19*H19</f>
        <v>184045.94259324</v>
      </c>
      <c r="L19" s="42">
        <f t="shared" ref="L19" si="73">C19*I19</f>
        <v>35606.464595999998</v>
      </c>
      <c r="M19" s="42">
        <f t="shared" ref="M19" si="74">D19*J19</f>
        <v>17113.015304</v>
      </c>
      <c r="N19" s="42">
        <v>0</v>
      </c>
      <c r="O19" s="42">
        <f t="shared" ref="O19" si="75">B19*0.4052</f>
        <v>5105.2525679999999</v>
      </c>
      <c r="P19" s="42">
        <f t="shared" ref="P19" si="76">C19*0.4944</f>
        <v>1094.6016</v>
      </c>
      <c r="Q19" s="42">
        <f t="shared" ref="Q19" si="77">D19*0.3363</f>
        <v>370.6026</v>
      </c>
      <c r="R19" s="42">
        <f t="shared" ref="R19" si="78">O19+P19+Q19</f>
        <v>6570.456768</v>
      </c>
      <c r="S19" s="42">
        <f t="shared" ref="S19" si="79">SUM(K19+L19+M19+N19)</f>
        <v>236765.42249324001</v>
      </c>
      <c r="T19" s="43">
        <f t="shared" ref="T19" si="80">S19*16%</f>
        <v>37882.467598918403</v>
      </c>
    </row>
    <row r="20" spans="1:28" s="35" customFormat="1" ht="18" customHeight="1" thickBot="1" x14ac:dyDescent="0.3">
      <c r="A20" s="44">
        <v>43146</v>
      </c>
      <c r="B20" s="34">
        <f>6578.95+1050.7+6810</f>
        <v>14439.65</v>
      </c>
      <c r="C20" s="34">
        <f>1574+110.55+792.99</f>
        <v>2477.54</v>
      </c>
      <c r="D20" s="34">
        <f>918+190</f>
        <v>1108</v>
      </c>
      <c r="E20" s="45">
        <v>17.350000000000001</v>
      </c>
      <c r="F20" s="45">
        <v>19.149999999999999</v>
      </c>
      <c r="G20" s="45">
        <v>18.350000000000001</v>
      </c>
      <c r="H20" s="46">
        <v>14.607586</v>
      </c>
      <c r="I20" s="46">
        <v>16.082414</v>
      </c>
      <c r="J20" s="46">
        <v>15.529052</v>
      </c>
      <c r="K20" s="42">
        <f t="shared" ref="K20" si="81">B20*H20</f>
        <v>210928.42918489999</v>
      </c>
      <c r="L20" s="42">
        <f t="shared" ref="L20" si="82">C20*I20</f>
        <v>39844.823981560003</v>
      </c>
      <c r="M20" s="42">
        <f t="shared" ref="M20" si="83">D20*J20</f>
        <v>17206.189616</v>
      </c>
      <c r="N20" s="42">
        <f>86.21+172.41</f>
        <v>258.62</v>
      </c>
      <c r="O20" s="42">
        <f t="shared" ref="O20" si="84">B20*0.4052</f>
        <v>5850.9461799999999</v>
      </c>
      <c r="P20" s="42">
        <f t="shared" ref="P20" si="85">C20*0.4944</f>
        <v>1224.8957760000001</v>
      </c>
      <c r="Q20" s="42">
        <f t="shared" ref="Q20" si="86">D20*0.3363</f>
        <v>372.62039999999996</v>
      </c>
      <c r="R20" s="42">
        <f t="shared" ref="R20" si="87">O20+P20+Q20</f>
        <v>7448.462356</v>
      </c>
      <c r="S20" s="42">
        <f t="shared" ref="S20" si="88">SUM(K20+L20+M20+N20)</f>
        <v>268238.06278246001</v>
      </c>
      <c r="T20" s="43">
        <f t="shared" ref="T20" si="89">S20*16%</f>
        <v>42918.090045193603</v>
      </c>
    </row>
    <row r="21" spans="1:28" s="35" customFormat="1" ht="18" customHeight="1" thickBot="1" x14ac:dyDescent="0.3">
      <c r="A21" s="44">
        <v>43147</v>
      </c>
      <c r="B21" s="34">
        <f>1088+7106+7725-14.2</f>
        <v>15904.8</v>
      </c>
      <c r="C21" s="34">
        <f>106+1184+1612</f>
        <v>2902</v>
      </c>
      <c r="D21" s="34">
        <f>272+925+0</f>
        <v>1197</v>
      </c>
      <c r="E21" s="45">
        <v>17.350000000000001</v>
      </c>
      <c r="F21" s="45">
        <v>19.149999999999999</v>
      </c>
      <c r="G21" s="45">
        <v>18.350000000000001</v>
      </c>
      <c r="H21" s="46">
        <v>14.607586</v>
      </c>
      <c r="I21" s="46">
        <v>16.082414</v>
      </c>
      <c r="J21" s="46">
        <v>15.529052</v>
      </c>
      <c r="K21" s="42">
        <f t="shared" ref="K21" si="90">B21*H21</f>
        <v>232330.73381279997</v>
      </c>
      <c r="L21" s="42">
        <f t="shared" ref="L21" si="91">C21*I21</f>
        <v>46671.165428</v>
      </c>
      <c r="M21" s="42">
        <f t="shared" ref="M21" si="92">D21*J21</f>
        <v>18588.275244</v>
      </c>
      <c r="N21" s="42">
        <v>344.9</v>
      </c>
      <c r="O21" s="42">
        <f t="shared" ref="O21" si="93">B21*0.4052</f>
        <v>6444.6249600000001</v>
      </c>
      <c r="P21" s="42">
        <f t="shared" ref="P21" si="94">C21*0.4944</f>
        <v>1434.7488000000001</v>
      </c>
      <c r="Q21" s="42">
        <f t="shared" ref="Q21" si="95">D21*0.3363</f>
        <v>402.55109999999996</v>
      </c>
      <c r="R21" s="42">
        <f t="shared" ref="R21" si="96">O21+P21+Q21</f>
        <v>8281.924860000001</v>
      </c>
      <c r="S21" s="42">
        <f t="shared" ref="S21" si="97">SUM(K21+L21+M21+N21)</f>
        <v>297935.07448479999</v>
      </c>
      <c r="T21" s="43">
        <f t="shared" ref="T21" si="98">S21*16%</f>
        <v>47669.611917568</v>
      </c>
    </row>
    <row r="22" spans="1:28" s="3" customFormat="1" ht="18" customHeight="1" thickBot="1" x14ac:dyDescent="0.3">
      <c r="A22" s="53">
        <v>43148</v>
      </c>
      <c r="B22" s="34">
        <f>1292+4523-26.1</f>
        <v>5788.9</v>
      </c>
      <c r="C22" s="34">
        <f>372+795-6.1</f>
        <v>1160.9000000000001</v>
      </c>
      <c r="D22" s="34">
        <f>628+0</f>
        <v>628</v>
      </c>
      <c r="E22" s="45">
        <v>17.350000000000001</v>
      </c>
      <c r="F22" s="45">
        <v>19.149999999999999</v>
      </c>
      <c r="G22" s="45">
        <v>18.350000000000001</v>
      </c>
      <c r="H22" s="46">
        <v>14.607586</v>
      </c>
      <c r="I22" s="46">
        <v>16.082414</v>
      </c>
      <c r="J22" s="46">
        <v>15.529052</v>
      </c>
      <c r="K22" s="42">
        <f t="shared" ref="K22" si="99">B22*H22</f>
        <v>84561.854595399986</v>
      </c>
      <c r="L22" s="42">
        <f t="shared" ref="L22" si="100">C22*I22</f>
        <v>18670.074412600003</v>
      </c>
      <c r="M22" s="42">
        <f t="shared" ref="M22" si="101">D22*J22</f>
        <v>9752.2446560000008</v>
      </c>
      <c r="N22" s="42">
        <v>0</v>
      </c>
      <c r="O22" s="42">
        <f t="shared" ref="O22" si="102">B22*0.4052</f>
        <v>2345.66228</v>
      </c>
      <c r="P22" s="42">
        <f t="shared" ref="P22" si="103">C22*0.4944</f>
        <v>573.94896000000006</v>
      </c>
      <c r="Q22" s="42">
        <f t="shared" ref="Q22" si="104">D22*0.3363</f>
        <v>211.19639999999998</v>
      </c>
      <c r="R22" s="42">
        <f t="shared" ref="R22" si="105">O22+P22+Q22</f>
        <v>3130.80764</v>
      </c>
      <c r="S22" s="42">
        <f t="shared" ref="S22" si="106">SUM(K22+L22+M22+N22)</f>
        <v>112984.17366399999</v>
      </c>
      <c r="T22" s="43">
        <f t="shared" ref="T22" si="107">S22*16%</f>
        <v>18077.467786239999</v>
      </c>
    </row>
    <row r="23" spans="1:28" s="3" customFormat="1" ht="18" customHeight="1" thickBot="1" x14ac:dyDescent="0.3">
      <c r="A23" s="53">
        <v>43148</v>
      </c>
      <c r="B23" s="34">
        <f>5893+2154</f>
        <v>8047</v>
      </c>
      <c r="C23" s="34">
        <f>510+980</f>
        <v>1490</v>
      </c>
      <c r="D23" s="34">
        <f>38+351</f>
        <v>389</v>
      </c>
      <c r="E23" s="47">
        <v>17.39</v>
      </c>
      <c r="F23" s="48">
        <v>19.190000000000001</v>
      </c>
      <c r="G23" s="48">
        <v>18.39</v>
      </c>
      <c r="H23" s="49">
        <v>14.642068999999999</v>
      </c>
      <c r="I23" s="49">
        <v>16.116897000000002</v>
      </c>
      <c r="J23" s="49">
        <v>15.563534000000001</v>
      </c>
      <c r="K23" s="42">
        <f t="shared" ref="K23" si="108">B23*H23</f>
        <v>117824.72924299999</v>
      </c>
      <c r="L23" s="42">
        <f t="shared" ref="L23" si="109">C23*I23</f>
        <v>24014.176530000001</v>
      </c>
      <c r="M23" s="42">
        <f t="shared" ref="M23" si="110">D23*J23</f>
        <v>6054.2147260000002</v>
      </c>
      <c r="N23" s="42">
        <v>456.9</v>
      </c>
      <c r="O23" s="42">
        <f t="shared" ref="O23" si="111">B23*0.4052</f>
        <v>3260.6444000000001</v>
      </c>
      <c r="P23" s="42">
        <f t="shared" ref="P23" si="112">C23*0.4944</f>
        <v>736.65600000000006</v>
      </c>
      <c r="Q23" s="42">
        <f t="shared" ref="Q23" si="113">D23*0.3363</f>
        <v>130.82069999999999</v>
      </c>
      <c r="R23" s="42">
        <f t="shared" ref="R23" si="114">O23+P23+Q23</f>
        <v>4128.1211000000003</v>
      </c>
      <c r="S23" s="42">
        <f t="shared" ref="S23" si="115">SUM(K23+L23+M23+N23)</f>
        <v>148350.02049900001</v>
      </c>
      <c r="T23" s="43">
        <f t="shared" ref="T23" si="116">S23*16%</f>
        <v>23736.003279840003</v>
      </c>
      <c r="V23" s="6"/>
      <c r="W23" s="6"/>
      <c r="X23" s="2"/>
      <c r="Y23" s="6"/>
      <c r="Z23" s="6"/>
      <c r="AA23" s="6"/>
      <c r="AB23" s="6"/>
    </row>
    <row r="24" spans="1:28" s="35" customFormat="1" ht="18" customHeight="1" thickBot="1" x14ac:dyDescent="0.3">
      <c r="A24" s="44">
        <v>43149</v>
      </c>
      <c r="B24" s="34">
        <f>4957+4492+958-16.2</f>
        <v>10390.799999999999</v>
      </c>
      <c r="C24" s="34">
        <f>1057+987+241-1.87</f>
        <v>2283.13</v>
      </c>
      <c r="D24" s="34">
        <f>110+53+0</f>
        <v>163</v>
      </c>
      <c r="E24" s="50">
        <v>17.39</v>
      </c>
      <c r="F24" s="51">
        <v>19.190000000000001</v>
      </c>
      <c r="G24" s="51">
        <v>18.39</v>
      </c>
      <c r="H24" s="52">
        <v>14.642068999999999</v>
      </c>
      <c r="I24" s="52">
        <v>16.116897000000002</v>
      </c>
      <c r="J24" s="52">
        <v>15.563534000000001</v>
      </c>
      <c r="K24" s="42">
        <f t="shared" ref="K24" si="117">B24*H24</f>
        <v>152142.81056519999</v>
      </c>
      <c r="L24" s="42">
        <f t="shared" ref="L24" si="118">C24*I24</f>
        <v>36796.971047610008</v>
      </c>
      <c r="M24" s="42">
        <f t="shared" ref="M24" si="119">D24*J24</f>
        <v>2536.8560419999999</v>
      </c>
      <c r="N24" s="42">
        <v>431.1</v>
      </c>
      <c r="O24" s="42">
        <f t="shared" ref="O24" si="120">B24*0.4052</f>
        <v>4210.3521599999995</v>
      </c>
      <c r="P24" s="42">
        <f t="shared" ref="P24" si="121">C24*0.4944</f>
        <v>1128.7794720000002</v>
      </c>
      <c r="Q24" s="42">
        <f t="shared" ref="Q24" si="122">D24*0.3363</f>
        <v>54.816899999999997</v>
      </c>
      <c r="R24" s="42">
        <f t="shared" ref="R24" si="123">O24+P24+Q24</f>
        <v>5393.9485319999994</v>
      </c>
      <c r="S24" s="42">
        <f t="shared" ref="S24" si="124">SUM(K24+L24+M24+N24)</f>
        <v>191907.73765481001</v>
      </c>
      <c r="T24" s="43">
        <f t="shared" ref="T24" si="125">S24*16%</f>
        <v>30705.238024769602</v>
      </c>
      <c r="V24" s="36"/>
      <c r="W24" s="36"/>
      <c r="X24" s="37"/>
      <c r="Y24" s="36"/>
      <c r="Z24" s="36"/>
      <c r="AA24" s="36"/>
      <c r="AB24" s="36"/>
    </row>
    <row r="25" spans="1:28" s="35" customFormat="1" ht="18" customHeight="1" thickBot="1" x14ac:dyDescent="0.3">
      <c r="A25" s="44">
        <v>43150</v>
      </c>
      <c r="B25" s="34">
        <f>2219+6104.98+1098.34</f>
        <v>9422.32</v>
      </c>
      <c r="C25" s="34">
        <f>211.6+1558.35+2290.74</f>
        <v>4060.6899999999996</v>
      </c>
      <c r="D25" s="34">
        <f>32.62+1116.52+108.76</f>
        <v>1257.8999999999999</v>
      </c>
      <c r="E25" s="50">
        <v>17.39</v>
      </c>
      <c r="F25" s="51">
        <v>19.190000000000001</v>
      </c>
      <c r="G25" s="51">
        <v>18.39</v>
      </c>
      <c r="H25" s="52">
        <v>14.642068999999999</v>
      </c>
      <c r="I25" s="52">
        <v>16.116897000000002</v>
      </c>
      <c r="J25" s="52">
        <v>15.563534000000001</v>
      </c>
      <c r="K25" s="42">
        <f t="shared" ref="K25" si="126">B25*H25</f>
        <v>137962.25958007999</v>
      </c>
      <c r="L25" s="42">
        <f t="shared" ref="L25" si="127">C25*I25</f>
        <v>65445.722478930002</v>
      </c>
      <c r="M25" s="42">
        <f t="shared" ref="M25" si="128">D25*J25</f>
        <v>19577.369418599999</v>
      </c>
      <c r="N25" s="42">
        <v>228.5</v>
      </c>
      <c r="O25" s="42">
        <f t="shared" ref="O25" si="129">B25*0.4052</f>
        <v>3817.9240639999998</v>
      </c>
      <c r="P25" s="42">
        <f t="shared" ref="P25" si="130">C25*0.4944</f>
        <v>2007.6051359999999</v>
      </c>
      <c r="Q25" s="42">
        <f t="shared" ref="Q25" si="131">D25*0.3363</f>
        <v>423.03176999999994</v>
      </c>
      <c r="R25" s="42">
        <f t="shared" ref="R25" si="132">O25+P25+Q25</f>
        <v>6248.5609699999995</v>
      </c>
      <c r="S25" s="42">
        <f t="shared" ref="S25" si="133">SUM(K25+L25+M25+N25)</f>
        <v>223213.85147760998</v>
      </c>
      <c r="T25" s="43">
        <f t="shared" ref="T25" si="134">S25*16%</f>
        <v>35714.216236417597</v>
      </c>
      <c r="V25" s="36"/>
      <c r="W25" s="36"/>
      <c r="X25" s="37"/>
      <c r="Y25" s="36"/>
      <c r="Z25" s="36"/>
      <c r="AA25" s="36"/>
      <c r="AB25" s="36"/>
    </row>
    <row r="26" spans="1:28" s="35" customFormat="1" ht="18" customHeight="1" thickBot="1" x14ac:dyDescent="0.3">
      <c r="A26" s="54">
        <v>43151</v>
      </c>
      <c r="B26" s="34">
        <v>631.77</v>
      </c>
      <c r="C26" s="34">
        <v>87.9</v>
      </c>
      <c r="D26" s="34">
        <v>19.899999999999999</v>
      </c>
      <c r="E26" s="50">
        <v>17.39</v>
      </c>
      <c r="F26" s="51">
        <v>19.190000000000001</v>
      </c>
      <c r="G26" s="51">
        <v>18.39</v>
      </c>
      <c r="H26" s="52">
        <v>14.642068999999999</v>
      </c>
      <c r="I26" s="52">
        <v>16.116897000000002</v>
      </c>
      <c r="J26" s="52">
        <v>15.563534000000001</v>
      </c>
      <c r="K26" s="42">
        <f t="shared" ref="K26" si="135">B26*H26</f>
        <v>9250.4199321299984</v>
      </c>
      <c r="L26" s="42">
        <f t="shared" ref="L26" si="136">C26*I26</f>
        <v>1416.6752463000003</v>
      </c>
      <c r="M26" s="42">
        <f t="shared" ref="M26" si="137">D26*J26</f>
        <v>309.71432659999999</v>
      </c>
      <c r="N26" s="55">
        <v>86.2</v>
      </c>
      <c r="O26" s="42">
        <f t="shared" ref="O26" si="138">B26*0.4052</f>
        <v>255.99320399999999</v>
      </c>
      <c r="P26" s="42">
        <f t="shared" ref="P26" si="139">C26*0.4944</f>
        <v>43.45776</v>
      </c>
      <c r="Q26" s="42">
        <f t="shared" ref="Q26" si="140">D26*0.3363</f>
        <v>6.6923699999999995</v>
      </c>
      <c r="R26" s="42">
        <f t="shared" ref="R26" si="141">O26+P26+Q26</f>
        <v>306.14333399999998</v>
      </c>
      <c r="S26" s="42">
        <f t="shared" ref="S26" si="142">SUM(K26+L26+M26+N26)</f>
        <v>11063.009505029999</v>
      </c>
      <c r="T26" s="43">
        <f t="shared" ref="T26" si="143">S26*16%</f>
        <v>1770.0815208047998</v>
      </c>
      <c r="V26" s="36"/>
      <c r="W26" s="36"/>
      <c r="X26" s="37"/>
      <c r="Y26" s="36"/>
      <c r="Z26" s="36"/>
      <c r="AA26" s="36"/>
      <c r="AB26" s="36"/>
    </row>
    <row r="27" spans="1:28" s="35" customFormat="1" ht="18" customHeight="1" thickBot="1" x14ac:dyDescent="0.3">
      <c r="A27" s="53">
        <v>43151</v>
      </c>
      <c r="B27" s="34">
        <f>1772.57+4713.47+4162</f>
        <v>10648.04</v>
      </c>
      <c r="C27" s="34">
        <f>939+1214.05+194.88</f>
        <v>2347.9300000000003</v>
      </c>
      <c r="D27" s="34">
        <f>355.38+146.73+737</f>
        <v>1239.1100000000001</v>
      </c>
      <c r="E27" s="47">
        <v>17.43</v>
      </c>
      <c r="F27" s="48">
        <v>19.21</v>
      </c>
      <c r="G27" s="48">
        <v>18.39</v>
      </c>
      <c r="H27" s="49">
        <v>14.676551999999999</v>
      </c>
      <c r="I27" s="49">
        <v>16.134138</v>
      </c>
      <c r="J27" s="49">
        <v>15.563534000000001</v>
      </c>
      <c r="K27" s="42">
        <f t="shared" ref="K27" si="144">B27*H27</f>
        <v>156276.51275808</v>
      </c>
      <c r="L27" s="42">
        <f t="shared" ref="L27" si="145">C27*I27</f>
        <v>37881.826634340003</v>
      </c>
      <c r="M27" s="42">
        <f t="shared" ref="M27" si="146">D27*J27</f>
        <v>19284.930614740002</v>
      </c>
      <c r="N27" s="42">
        <v>0</v>
      </c>
      <c r="O27" s="42">
        <f t="shared" ref="O27" si="147">B27*0.4052</f>
        <v>4314.5858080000007</v>
      </c>
      <c r="P27" s="42">
        <f t="shared" ref="P27" si="148">C27*0.4944</f>
        <v>1160.8165920000001</v>
      </c>
      <c r="Q27" s="42">
        <f t="shared" ref="Q27" si="149">D27*0.3363</f>
        <v>416.712693</v>
      </c>
      <c r="R27" s="42">
        <f t="shared" ref="R27" si="150">O27+P27+Q27</f>
        <v>5892.1150930000013</v>
      </c>
      <c r="S27" s="42">
        <f t="shared" ref="S27" si="151">SUM(K27+L27+M27+N27)</f>
        <v>213443.27000716003</v>
      </c>
      <c r="T27" s="43">
        <f t="shared" ref="T27" si="152">S27*16%</f>
        <v>34150.923201145604</v>
      </c>
      <c r="V27" s="36"/>
      <c r="W27" s="36"/>
      <c r="X27" s="37"/>
      <c r="Y27" s="36"/>
      <c r="Z27" s="36"/>
      <c r="AA27" s="36"/>
      <c r="AB27" s="36"/>
    </row>
    <row r="28" spans="1:28" s="35" customFormat="1" ht="19.5" customHeight="1" thickBot="1" x14ac:dyDescent="0.3">
      <c r="A28" s="44">
        <v>43152</v>
      </c>
      <c r="B28" s="34">
        <f>6779+5394+736.82-14</f>
        <v>12895.82</v>
      </c>
      <c r="C28" s="34">
        <f>114.96+701+1097-2.12</f>
        <v>1910.8400000000001</v>
      </c>
      <c r="D28" s="38">
        <f>1148+44+0</f>
        <v>1192</v>
      </c>
      <c r="E28" s="50">
        <v>17.43</v>
      </c>
      <c r="F28" s="51">
        <v>19.21</v>
      </c>
      <c r="G28" s="51">
        <v>18.39</v>
      </c>
      <c r="H28" s="52">
        <v>14.676551999999999</v>
      </c>
      <c r="I28" s="52">
        <v>16.134138</v>
      </c>
      <c r="J28" s="52">
        <v>15.563534000000001</v>
      </c>
      <c r="K28" s="42">
        <f t="shared" ref="K28" si="153">B28*H28</f>
        <v>189266.17281264</v>
      </c>
      <c r="L28" s="42">
        <f t="shared" ref="L28" si="154">C28*I28</f>
        <v>30829.756255920001</v>
      </c>
      <c r="M28" s="42">
        <f t="shared" ref="M28" si="155">D28*J28</f>
        <v>18551.732528</v>
      </c>
      <c r="N28" s="42">
        <v>517.29999999999995</v>
      </c>
      <c r="O28" s="42">
        <f t="shared" ref="O28" si="156">B28*0.4052</f>
        <v>5225.3862639999998</v>
      </c>
      <c r="P28" s="42">
        <f t="shared" ref="P28" si="157">C28*0.4944</f>
        <v>944.7192960000001</v>
      </c>
      <c r="Q28" s="42">
        <f t="shared" ref="Q28" si="158">D28*0.3363</f>
        <v>400.86959999999999</v>
      </c>
      <c r="R28" s="42">
        <f t="shared" ref="R28" si="159">O28+P28+Q28</f>
        <v>6570.97516</v>
      </c>
      <c r="S28" s="42">
        <f t="shared" ref="S28" si="160">SUM(K28+L28+M28+N28)</f>
        <v>239164.96159656</v>
      </c>
      <c r="T28" s="43">
        <f t="shared" ref="T28" si="161">S28*16%</f>
        <v>38266.393855449598</v>
      </c>
      <c r="V28" s="36"/>
    </row>
    <row r="29" spans="1:28" s="35" customFormat="1" ht="19.5" customHeight="1" thickBot="1" x14ac:dyDescent="0.3">
      <c r="A29" s="44">
        <v>43153</v>
      </c>
      <c r="B29" s="34">
        <f>5405.05+6369+785</f>
        <v>12559.05</v>
      </c>
      <c r="C29" s="34">
        <f>708.15+1393+110</f>
        <v>2211.15</v>
      </c>
      <c r="D29" s="38">
        <f>881.97+72</f>
        <v>953.97</v>
      </c>
      <c r="E29" s="50">
        <v>17.43</v>
      </c>
      <c r="F29" s="51">
        <v>19.21</v>
      </c>
      <c r="G29" s="51">
        <v>18.39</v>
      </c>
      <c r="H29" s="52">
        <v>14.676551999999999</v>
      </c>
      <c r="I29" s="52">
        <v>16.134138</v>
      </c>
      <c r="J29" s="52">
        <v>15.563534000000001</v>
      </c>
      <c r="K29" s="42">
        <f t="shared" ref="K29" si="162">B29*H29</f>
        <v>184323.55039559997</v>
      </c>
      <c r="L29" s="42">
        <f t="shared" ref="L29" si="163">C29*I29</f>
        <v>35674.999238700002</v>
      </c>
      <c r="M29" s="42">
        <f t="shared" ref="M29" si="164">D29*J29</f>
        <v>14847.144529980002</v>
      </c>
      <c r="N29" s="42">
        <v>86.2</v>
      </c>
      <c r="O29" s="42">
        <f t="shared" ref="O29" si="165">B29*0.4052</f>
        <v>5088.92706</v>
      </c>
      <c r="P29" s="42">
        <f t="shared" ref="P29" si="166">C29*0.4944</f>
        <v>1093.19256</v>
      </c>
      <c r="Q29" s="42">
        <f t="shared" ref="Q29" si="167">D29*0.3363</f>
        <v>320.820111</v>
      </c>
      <c r="R29" s="42">
        <f t="shared" ref="R29" si="168">O29+P29+Q29</f>
        <v>6502.9397309999995</v>
      </c>
      <c r="S29" s="42">
        <f t="shared" ref="S29" si="169">SUM(K29+L29+M29+N29)</f>
        <v>234931.89416427998</v>
      </c>
      <c r="T29" s="43">
        <f t="shared" ref="T29" si="170">S29*16%</f>
        <v>37589.103066284799</v>
      </c>
      <c r="U29" s="36"/>
      <c r="V29" s="36"/>
    </row>
    <row r="30" spans="1:28" s="35" customFormat="1" ht="19.5" customHeight="1" thickBot="1" x14ac:dyDescent="0.3">
      <c r="A30" s="44">
        <v>43154</v>
      </c>
      <c r="B30" s="34">
        <f>6903.56+4496.66+2930+1070.57</f>
        <v>15400.79</v>
      </c>
      <c r="C30" s="34">
        <f>437.81+1144.84+632.76+177.71</f>
        <v>2393.12</v>
      </c>
      <c r="D30" s="38">
        <f>825.57+435.18+206.04</f>
        <v>1466.79</v>
      </c>
      <c r="E30" s="29">
        <v>17.43</v>
      </c>
      <c r="F30" s="27">
        <v>19.21</v>
      </c>
      <c r="G30" s="27">
        <v>18.41</v>
      </c>
      <c r="H30" s="30">
        <v>14.676551999999999</v>
      </c>
      <c r="I30" s="30">
        <v>16.134138</v>
      </c>
      <c r="J30" s="30">
        <v>15.580776</v>
      </c>
      <c r="K30" s="42">
        <f t="shared" ref="K30" si="171">B30*H30</f>
        <v>226030.49527608001</v>
      </c>
      <c r="L30" s="42">
        <f t="shared" ref="L30" si="172">C30*I30</f>
        <v>38610.928330559997</v>
      </c>
      <c r="M30" s="42">
        <f t="shared" ref="M30" si="173">D30*J30</f>
        <v>22853.726429039998</v>
      </c>
      <c r="N30" s="42">
        <v>258.7</v>
      </c>
      <c r="O30" s="42">
        <f t="shared" ref="O30" si="174">B30*0.4052</f>
        <v>6240.4001080000007</v>
      </c>
      <c r="P30" s="42">
        <f t="shared" ref="P30" si="175">C30*0.4944</f>
        <v>1183.1585279999999</v>
      </c>
      <c r="Q30" s="42">
        <f t="shared" ref="Q30" si="176">D30*0.3363</f>
        <v>493.281477</v>
      </c>
      <c r="R30" s="42">
        <f t="shared" ref="R30" si="177">O30+P30+Q30</f>
        <v>7916.8401130000002</v>
      </c>
      <c r="S30" s="42">
        <f t="shared" ref="S30" si="178">SUM(K30+L30+M30+N30)</f>
        <v>287753.85003568005</v>
      </c>
      <c r="T30" s="43">
        <f t="shared" ref="T30" si="179">S30*16%</f>
        <v>46040.616005708805</v>
      </c>
      <c r="U30" s="36"/>
      <c r="V30" s="36"/>
    </row>
    <row r="31" spans="1:28" s="35" customFormat="1" ht="18" customHeight="1" thickBot="1" x14ac:dyDescent="0.3">
      <c r="A31" s="44">
        <v>43155</v>
      </c>
      <c r="B31" s="34">
        <f>6123.59+7144.94+991.38</f>
        <v>14259.909999999998</v>
      </c>
      <c r="C31" s="34">
        <f>899.93+1331.02+98.08</f>
        <v>2329.0299999999997</v>
      </c>
      <c r="D31" s="38">
        <f>485.96+47.5</f>
        <v>533.46</v>
      </c>
      <c r="E31" s="29">
        <v>17.43</v>
      </c>
      <c r="F31" s="27">
        <v>19.21</v>
      </c>
      <c r="G31" s="27">
        <v>18.41</v>
      </c>
      <c r="H31" s="30">
        <v>14.676551999999999</v>
      </c>
      <c r="I31" s="30">
        <v>16.134138</v>
      </c>
      <c r="J31" s="30">
        <v>15.580776</v>
      </c>
      <c r="K31" s="42">
        <f t="shared" ref="K31" si="180">B31*H31</f>
        <v>209286.31063031996</v>
      </c>
      <c r="L31" s="42">
        <f t="shared" ref="L31" si="181">C31*I31</f>
        <v>37576.891426139999</v>
      </c>
      <c r="M31" s="42">
        <f t="shared" ref="M31" si="182">D31*J31</f>
        <v>8311.7207649600005</v>
      </c>
      <c r="N31" s="42">
        <v>172.5</v>
      </c>
      <c r="O31" s="42">
        <f t="shared" ref="O31" si="183">B31*0.4052</f>
        <v>5778.1155319999989</v>
      </c>
      <c r="P31" s="42">
        <f t="shared" ref="P31" si="184">C31*0.4944</f>
        <v>1151.4724319999998</v>
      </c>
      <c r="Q31" s="42">
        <f t="shared" ref="Q31" si="185">D31*0.3363</f>
        <v>179.40259800000001</v>
      </c>
      <c r="R31" s="42">
        <f t="shared" ref="R31" si="186">O31+P31+Q31</f>
        <v>7108.9905619999981</v>
      </c>
      <c r="S31" s="42">
        <f t="shared" ref="S31" si="187">SUM(K31+L31+M31+N31)</f>
        <v>255347.42282141995</v>
      </c>
      <c r="T31" s="43">
        <f t="shared" ref="T31" si="188">S31*16%</f>
        <v>40855.587651427195</v>
      </c>
      <c r="U31" s="36"/>
      <c r="V31" s="36"/>
    </row>
    <row r="32" spans="1:28" s="35" customFormat="1" ht="18" customHeight="1" thickBot="1" x14ac:dyDescent="0.3">
      <c r="A32" s="44">
        <v>43156</v>
      </c>
      <c r="B32" s="34">
        <f>4554.42+1281.29+4575.4</f>
        <v>10411.11</v>
      </c>
      <c r="C32" s="34">
        <f>869.04+1026.42+140.2</f>
        <v>2035.66</v>
      </c>
      <c r="D32" s="38">
        <f>21.73+26.24+59.75</f>
        <v>107.72</v>
      </c>
      <c r="E32" s="29">
        <v>17.43</v>
      </c>
      <c r="F32" s="27">
        <v>19.21</v>
      </c>
      <c r="G32" s="27">
        <v>18.41</v>
      </c>
      <c r="H32" s="30">
        <v>14.676551999999999</v>
      </c>
      <c r="I32" s="30">
        <v>16.134138</v>
      </c>
      <c r="J32" s="30">
        <v>15.580776</v>
      </c>
      <c r="K32" s="42">
        <f t="shared" ref="K32" si="189">B32*H32</f>
        <v>152799.19729272</v>
      </c>
      <c r="L32" s="42">
        <f t="shared" ref="L32" si="190">C32*I32</f>
        <v>32843.619361080004</v>
      </c>
      <c r="M32" s="42">
        <f t="shared" ref="M32" si="191">D32*J32</f>
        <v>1678.36119072</v>
      </c>
      <c r="N32" s="42">
        <v>172.5</v>
      </c>
      <c r="O32" s="42">
        <f t="shared" ref="O32" si="192">B32*0.4052</f>
        <v>4218.5817720000005</v>
      </c>
      <c r="P32" s="42">
        <f t="shared" ref="P32" si="193">C32*0.4944</f>
        <v>1006.4303040000001</v>
      </c>
      <c r="Q32" s="42">
        <f t="shared" ref="Q32" si="194">D32*0.3363</f>
        <v>36.226236</v>
      </c>
      <c r="R32" s="42">
        <f t="shared" ref="R32" si="195">O32+P32+Q32</f>
        <v>5261.2383120000013</v>
      </c>
      <c r="S32" s="42">
        <f t="shared" ref="S32" si="196">SUM(K32+L32+M32+N32)</f>
        <v>187493.67784451999</v>
      </c>
      <c r="T32" s="43">
        <f t="shared" ref="T32" si="197">S32*16%</f>
        <v>29998.988455123199</v>
      </c>
      <c r="U32" s="36"/>
      <c r="V32" s="36"/>
    </row>
    <row r="33" spans="1:211" s="3" customFormat="1" ht="18" customHeight="1" thickBot="1" x14ac:dyDescent="0.3">
      <c r="A33" s="44">
        <v>43157</v>
      </c>
      <c r="B33" s="34">
        <f>6778.36+5231.82+948.74</f>
        <v>12958.92</v>
      </c>
      <c r="C33" s="34">
        <f>121.66+1315+902.36</f>
        <v>2339.02</v>
      </c>
      <c r="D33" s="38">
        <f>1416.37+189.82+0</f>
        <v>1606.1899999999998</v>
      </c>
      <c r="E33" s="29">
        <v>17.43</v>
      </c>
      <c r="F33" s="27">
        <v>19.21</v>
      </c>
      <c r="G33" s="27">
        <v>18.41</v>
      </c>
      <c r="H33" s="30">
        <v>14.676551999999999</v>
      </c>
      <c r="I33" s="57">
        <v>16.134138</v>
      </c>
      <c r="J33" s="57">
        <v>15.580776</v>
      </c>
      <c r="K33" s="42">
        <f t="shared" ref="K33" si="198">B33*H33</f>
        <v>190192.26324383999</v>
      </c>
      <c r="L33" s="42">
        <f t="shared" ref="L33" si="199">C33*I33</f>
        <v>37738.071464760003</v>
      </c>
      <c r="M33" s="42">
        <f t="shared" ref="M33" si="200">D33*J33</f>
        <v>25025.686603439997</v>
      </c>
      <c r="N33" s="42">
        <v>228.5</v>
      </c>
      <c r="O33" s="42">
        <f t="shared" ref="O33" si="201">B33*0.4052</f>
        <v>5250.9543839999997</v>
      </c>
      <c r="P33" s="42">
        <f t="shared" ref="P33" si="202">C33*0.4944</f>
        <v>1156.411488</v>
      </c>
      <c r="Q33" s="42">
        <f t="shared" ref="Q33" si="203">D33*0.3363</f>
        <v>540.16169699999989</v>
      </c>
      <c r="R33" s="42">
        <f t="shared" ref="R33" si="204">O33+P33+Q33</f>
        <v>6947.5275689999989</v>
      </c>
      <c r="S33" s="42">
        <f t="shared" ref="S33" si="205">SUM(K33+L33+M33+N33)</f>
        <v>253184.52131203999</v>
      </c>
      <c r="T33" s="43">
        <f t="shared" ref="T33" si="206">S33*16%</f>
        <v>40509.523409926398</v>
      </c>
      <c r="U33" s="36"/>
      <c r="V33" s="6"/>
    </row>
    <row r="34" spans="1:211" s="3" customFormat="1" ht="18" customHeight="1" thickBot="1" x14ac:dyDescent="0.3">
      <c r="A34" s="44">
        <v>43158</v>
      </c>
      <c r="B34" s="34">
        <f>5540.82+698.32+4654.32</f>
        <v>10893.46</v>
      </c>
      <c r="C34" s="34">
        <f>612.11+78.61+797.02</f>
        <v>1487.74</v>
      </c>
      <c r="D34" s="38">
        <f>1335.28+133.47+63.55</f>
        <v>1532.3</v>
      </c>
      <c r="E34" s="29">
        <v>17.43</v>
      </c>
      <c r="F34" s="27">
        <v>19.21</v>
      </c>
      <c r="G34" s="27">
        <v>18.41</v>
      </c>
      <c r="H34" s="30">
        <v>14.676551999999999</v>
      </c>
      <c r="I34" s="58">
        <v>16.134138</v>
      </c>
      <c r="J34" s="58">
        <v>15.580776</v>
      </c>
      <c r="K34" s="42">
        <f t="shared" ref="K34" si="207">B34*H34</f>
        <v>159878.43214991997</v>
      </c>
      <c r="L34" s="42">
        <f t="shared" ref="L34" si="208">C34*I34</f>
        <v>24003.402468119999</v>
      </c>
      <c r="M34" s="42">
        <f t="shared" ref="M34" si="209">D34*J34</f>
        <v>23874.423064800001</v>
      </c>
      <c r="N34" s="42">
        <f>86.21+172.5</f>
        <v>258.70999999999998</v>
      </c>
      <c r="O34" s="42">
        <f t="shared" ref="O34" si="210">B34*0.4052</f>
        <v>4414.0299919999998</v>
      </c>
      <c r="P34" s="42">
        <f t="shared" ref="P34" si="211">C34*0.4944</f>
        <v>735.53865600000006</v>
      </c>
      <c r="Q34" s="42">
        <f t="shared" ref="Q34" si="212">D34*0.3363</f>
        <v>515.31248999999991</v>
      </c>
      <c r="R34" s="42">
        <f t="shared" ref="R34" si="213">O34+P34+Q34</f>
        <v>5664.8811379999997</v>
      </c>
      <c r="S34" s="42">
        <f t="shared" ref="S34" si="214">SUM(K34+L34+M34+N34)</f>
        <v>208014.96768283998</v>
      </c>
      <c r="T34" s="43">
        <f t="shared" ref="T34" si="215">S34*16%</f>
        <v>33282.394829254401</v>
      </c>
      <c r="U34" s="36"/>
      <c r="V34" s="6"/>
    </row>
    <row r="35" spans="1:211" ht="18" customHeight="1" x14ac:dyDescent="0.25">
      <c r="A35" s="44">
        <v>43159</v>
      </c>
      <c r="B35" s="56">
        <f>877+6791+5875-12.3</f>
        <v>13530.7</v>
      </c>
      <c r="C35" s="56">
        <f>63+1011+1301</f>
        <v>2375</v>
      </c>
      <c r="D35" s="56">
        <f>605+903+0</f>
        <v>1508</v>
      </c>
      <c r="E35" s="29">
        <v>17.43</v>
      </c>
      <c r="F35" s="27">
        <v>19.21</v>
      </c>
      <c r="G35" s="27">
        <v>18.41</v>
      </c>
      <c r="H35" s="30">
        <v>14.676551999999999</v>
      </c>
      <c r="I35" s="58">
        <v>16.134138</v>
      </c>
      <c r="J35" s="58">
        <v>15.580776</v>
      </c>
      <c r="K35" s="42">
        <f t="shared" ref="K35" si="216">B35*H35</f>
        <v>198584.02214640001</v>
      </c>
      <c r="L35" s="42">
        <f t="shared" ref="L35" si="217">C35*I35</f>
        <v>38318.577749999997</v>
      </c>
      <c r="M35" s="42">
        <f t="shared" ref="M35" si="218">D35*J35</f>
        <v>23495.810207999999</v>
      </c>
      <c r="N35" s="42">
        <v>344.83</v>
      </c>
      <c r="O35" s="42">
        <f t="shared" ref="O35" si="219">B35*0.4052</f>
        <v>5482.6396400000003</v>
      </c>
      <c r="P35" s="42">
        <f t="shared" ref="P35" si="220">C35*0.4944</f>
        <v>1174.2</v>
      </c>
      <c r="Q35" s="42">
        <f t="shared" ref="Q35" si="221">D35*0.3363</f>
        <v>507.1404</v>
      </c>
      <c r="R35" s="42">
        <f t="shared" ref="R35" si="222">O35+P35+Q35</f>
        <v>7163.9800400000004</v>
      </c>
      <c r="S35" s="42">
        <f t="shared" ref="S35" si="223">SUM(K35+L35+M35+N35)</f>
        <v>260743.2401044</v>
      </c>
      <c r="T35" s="43">
        <f t="shared" ref="T35" si="224">S35*16%</f>
        <v>41718.918416704</v>
      </c>
      <c r="U35" s="6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</row>
    <row r="36" spans="1:211" ht="18" customHeight="1" x14ac:dyDescent="0.25">
      <c r="A36" s="3"/>
      <c r="B36" s="3"/>
      <c r="C36" s="3"/>
      <c r="D36" s="3"/>
      <c r="E36" s="3"/>
      <c r="F36" s="3"/>
      <c r="G36" s="3"/>
      <c r="H36" s="3"/>
      <c r="I36" s="12"/>
      <c r="J36" s="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</row>
    <row r="37" spans="1:211" ht="18" customHeight="1" x14ac:dyDescent="0.25">
      <c r="A37" s="4"/>
      <c r="B37" s="3" t="s">
        <v>16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</row>
    <row r="38" spans="1:211" x14ac:dyDescent="0.25">
      <c r="A38" s="7"/>
      <c r="B38" s="3" t="s">
        <v>17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</row>
    <row r="39" spans="1:211" x14ac:dyDescent="0.25">
      <c r="A39" s="5"/>
      <c r="B39" s="3" t="s">
        <v>18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</row>
    <row r="40" spans="1:2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</row>
    <row r="41" spans="1:2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</row>
    <row r="42" spans="1:2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</row>
    <row r="43" spans="1:2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</row>
    <row r="44" spans="1:2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</row>
    <row r="45" spans="1:2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2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2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2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</sheetData>
  <mergeCells count="7">
    <mergeCell ref="E4:G4"/>
    <mergeCell ref="K4:M4"/>
    <mergeCell ref="H4:J4"/>
    <mergeCell ref="A3:J3"/>
    <mergeCell ref="K3:Q3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2016-10-11T21:34:59Z</cp:lastPrinted>
  <dcterms:created xsi:type="dcterms:W3CDTF">2015-10-02T22:42:38Z</dcterms:created>
  <dcterms:modified xsi:type="dcterms:W3CDTF">2018-03-02T17:15:08Z</dcterms:modified>
</cp:coreProperties>
</file>