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19440" windowHeight="7530"/>
  </bookViews>
  <sheets>
    <sheet name="HOJA" sheetId="3" r:id="rId1"/>
    <sheet name="Hoja1" sheetId="4" r:id="rId2"/>
  </sheets>
  <definedNames>
    <definedName name="_xlnm.Print_Area" localSheetId="0">HOJA!$A$1:$T$39</definedName>
  </definedNames>
  <calcPr calcId="171027"/>
</workbook>
</file>

<file path=xl/calcChain.xml><?xml version="1.0" encoding="utf-8"?>
<calcChain xmlns="http://schemas.openxmlformats.org/spreadsheetml/2006/main">
  <c r="K7" i="3" l="1"/>
  <c r="L7" i="3"/>
  <c r="M7" i="3"/>
  <c r="O7" i="3"/>
  <c r="R7" i="3" s="1"/>
  <c r="P7" i="3"/>
  <c r="Q7" i="3"/>
  <c r="S7" i="3" l="1"/>
  <c r="T7" i="3" s="1"/>
  <c r="B39" i="3"/>
  <c r="O39" i="3" s="1"/>
  <c r="D39" i="3"/>
  <c r="Q39" i="3" s="1"/>
  <c r="C39" i="3"/>
  <c r="P39" i="3" s="1"/>
  <c r="M39" i="3"/>
  <c r="K39" i="3" l="1"/>
  <c r="L39" i="3"/>
  <c r="R39" i="3"/>
  <c r="S39" i="3" l="1"/>
  <c r="T39" i="3" s="1"/>
  <c r="B31" i="3" l="1"/>
  <c r="C38" i="3" l="1"/>
  <c r="P38" i="3" s="1"/>
  <c r="B38" i="3"/>
  <c r="D38" i="3"/>
  <c r="Q38" i="3" s="1"/>
  <c r="K38" i="3"/>
  <c r="M38" i="3"/>
  <c r="O38" i="3"/>
  <c r="L38" i="3" l="1"/>
  <c r="S38" i="3" s="1"/>
  <c r="T38" i="3" s="1"/>
  <c r="R38" i="3"/>
  <c r="D37" i="3"/>
  <c r="Q37" i="3" s="1"/>
  <c r="C37" i="3"/>
  <c r="L37" i="3" s="1"/>
  <c r="B37" i="3"/>
  <c r="O37" i="3" s="1"/>
  <c r="P37" i="3" l="1"/>
  <c r="K37" i="3"/>
  <c r="S37" i="3" s="1"/>
  <c r="T37" i="3" s="1"/>
  <c r="M37" i="3"/>
  <c r="R37" i="3"/>
  <c r="D36" i="3"/>
  <c r="Q36" i="3" s="1"/>
  <c r="C36" i="3"/>
  <c r="L36" i="3" s="1"/>
  <c r="B36" i="3"/>
  <c r="O36" i="3" s="1"/>
  <c r="P36" i="3"/>
  <c r="K36" i="3" l="1"/>
  <c r="M36" i="3"/>
  <c r="S36" i="3" s="1"/>
  <c r="T36" i="3" s="1"/>
  <c r="R36" i="3"/>
  <c r="D35" i="3"/>
  <c r="M35" i="3" s="1"/>
  <c r="C35" i="3"/>
  <c r="P35" i="3" s="1"/>
  <c r="B35" i="3"/>
  <c r="O35" i="3" s="1"/>
  <c r="K35" i="3"/>
  <c r="Q35" i="3"/>
  <c r="L35" i="3" l="1"/>
  <c r="S35" i="3"/>
  <c r="R35" i="3"/>
  <c r="T35" i="3" l="1"/>
  <c r="D34" i="3" l="1"/>
  <c r="Q34" i="3" s="1"/>
  <c r="C34" i="3"/>
  <c r="P34" i="3" s="1"/>
  <c r="B34" i="3"/>
  <c r="K34" i="3" s="1"/>
  <c r="O34" i="3"/>
  <c r="C33" i="3"/>
  <c r="P33" i="3" s="1"/>
  <c r="B33" i="3"/>
  <c r="O33" i="3" s="1"/>
  <c r="M34" i="3"/>
  <c r="L34" i="3"/>
  <c r="K33" i="3"/>
  <c r="L33" i="3"/>
  <c r="M33" i="3"/>
  <c r="Q33" i="3"/>
  <c r="S34" i="3" l="1"/>
  <c r="R34" i="3"/>
  <c r="S33" i="3"/>
  <c r="T33" i="3" s="1"/>
  <c r="R33" i="3"/>
  <c r="D32" i="3"/>
  <c r="C32" i="3"/>
  <c r="P32" i="3" s="1"/>
  <c r="B32" i="3"/>
  <c r="O32" i="3"/>
  <c r="M32" i="3"/>
  <c r="T34" i="3" l="1"/>
  <c r="Q32" i="3"/>
  <c r="R32" i="3" s="1"/>
  <c r="K32" i="3"/>
  <c r="L32" i="3"/>
  <c r="K30" i="3"/>
  <c r="L30" i="3"/>
  <c r="D31" i="3"/>
  <c r="C31" i="3"/>
  <c r="S32" i="3" l="1"/>
  <c r="T32" i="3" s="1"/>
  <c r="M30" i="3"/>
  <c r="O30" i="3"/>
  <c r="P30" i="3"/>
  <c r="Q30" i="3"/>
  <c r="Q31" i="3"/>
  <c r="P31" i="3"/>
  <c r="K31" i="3"/>
  <c r="M31" i="3"/>
  <c r="O31" i="3"/>
  <c r="S30" i="3" l="1"/>
  <c r="R30" i="3"/>
  <c r="L31" i="3"/>
  <c r="R31" i="3"/>
  <c r="Q29" i="3"/>
  <c r="D29" i="3"/>
  <c r="M29" i="3" s="1"/>
  <c r="C29" i="3"/>
  <c r="P29" i="3" s="1"/>
  <c r="B29" i="3"/>
  <c r="K29" i="3" s="1"/>
  <c r="S29" i="3" s="1"/>
  <c r="T29" i="3" s="1"/>
  <c r="L29" i="3"/>
  <c r="Q28" i="3"/>
  <c r="P28" i="3"/>
  <c r="K28" i="3"/>
  <c r="O28" i="3"/>
  <c r="S31" i="3" l="1"/>
  <c r="T31" i="3" s="1"/>
  <c r="O29" i="3"/>
  <c r="T30" i="3"/>
  <c r="R29" i="3"/>
  <c r="M28" i="3"/>
  <c r="L28" i="3"/>
  <c r="R28" i="3"/>
  <c r="D27" i="3"/>
  <c r="Q27" i="3" s="1"/>
  <c r="C27" i="3"/>
  <c r="P27" i="3" s="1"/>
  <c r="B27" i="3"/>
  <c r="K27" i="3" s="1"/>
  <c r="S28" i="3" l="1"/>
  <c r="T28" i="3" s="1"/>
  <c r="O27" i="3"/>
  <c r="R27" i="3" s="1"/>
  <c r="M27" i="3"/>
  <c r="L27" i="3"/>
  <c r="D26" i="3"/>
  <c r="M26" i="3" s="1"/>
  <c r="C26" i="3"/>
  <c r="L26" i="3" s="1"/>
  <c r="B26" i="3"/>
  <c r="O26" i="3" s="1"/>
  <c r="S27" i="3" l="1"/>
  <c r="T27" i="3" s="1"/>
  <c r="Q26" i="3"/>
  <c r="P26" i="3"/>
  <c r="K26" i="3"/>
  <c r="S26" i="3" s="1"/>
  <c r="T26" i="3" s="1"/>
  <c r="C24" i="3"/>
  <c r="P24" i="3" s="1"/>
  <c r="B24" i="3"/>
  <c r="K24" i="3" s="1"/>
  <c r="D25" i="3"/>
  <c r="Q25" i="3" s="1"/>
  <c r="B25" i="3"/>
  <c r="O25" i="3" s="1"/>
  <c r="C25" i="3"/>
  <c r="L25" i="3" s="1"/>
  <c r="M24" i="3"/>
  <c r="Q24" i="3"/>
  <c r="K25" i="3" l="1"/>
  <c r="O24" i="3"/>
  <c r="R24" i="3" s="1"/>
  <c r="R26" i="3"/>
  <c r="P25" i="3"/>
  <c r="R25" i="3" s="1"/>
  <c r="L24" i="3"/>
  <c r="S24" i="3" s="1"/>
  <c r="T24" i="3" s="1"/>
  <c r="M25" i="3"/>
  <c r="S25" i="3" s="1"/>
  <c r="T25" i="3" s="1"/>
  <c r="D23" i="3"/>
  <c r="Q23" i="3" s="1"/>
  <c r="C23" i="3"/>
  <c r="P23" i="3" s="1"/>
  <c r="B23" i="3"/>
  <c r="K23" i="3" s="1"/>
  <c r="M23" i="3" l="1"/>
  <c r="O23" i="3"/>
  <c r="R23" i="3" s="1"/>
  <c r="L23" i="3"/>
  <c r="S23" i="3" s="1"/>
  <c r="T23" i="3" s="1"/>
  <c r="D22" i="3"/>
  <c r="Q22" i="3" s="1"/>
  <c r="C22" i="3"/>
  <c r="L22" i="3" s="1"/>
  <c r="B22" i="3"/>
  <c r="K22" i="3" s="1"/>
  <c r="P22" i="3" l="1"/>
  <c r="M22" i="3"/>
  <c r="S22" i="3" s="1"/>
  <c r="T22" i="3" s="1"/>
  <c r="O22" i="3"/>
  <c r="D21" i="3"/>
  <c r="M21" i="3" s="1"/>
  <c r="C21" i="3"/>
  <c r="P21" i="3" s="1"/>
  <c r="B21" i="3"/>
  <c r="K21" i="3" s="1"/>
  <c r="N21" i="3"/>
  <c r="O21" i="3" l="1"/>
  <c r="L21" i="3"/>
  <c r="S21" i="3" s="1"/>
  <c r="T21" i="3" s="1"/>
  <c r="R22" i="3"/>
  <c r="Q21" i="3"/>
  <c r="D20" i="3"/>
  <c r="Q20" i="3" s="1"/>
  <c r="C20" i="3"/>
  <c r="L20" i="3" s="1"/>
  <c r="B20" i="3"/>
  <c r="K20" i="3" s="1"/>
  <c r="R21" i="3" l="1"/>
  <c r="O20" i="3"/>
  <c r="P20" i="3"/>
  <c r="M20" i="3"/>
  <c r="S20" i="3" s="1"/>
  <c r="T20" i="3" s="1"/>
  <c r="D19" i="3"/>
  <c r="M19" i="3" s="1"/>
  <c r="C19" i="3"/>
  <c r="L19" i="3" s="1"/>
  <c r="B19" i="3"/>
  <c r="O19" i="3" s="1"/>
  <c r="K19" i="3"/>
  <c r="P19" i="3"/>
  <c r="R20" i="3" l="1"/>
  <c r="Q19" i="3"/>
  <c r="R19" i="3" s="1"/>
  <c r="S19" i="3"/>
  <c r="T19" i="3" s="1"/>
  <c r="D18" i="3"/>
  <c r="Q18" i="3" s="1"/>
  <c r="C18" i="3"/>
  <c r="P18" i="3" s="1"/>
  <c r="B18" i="3"/>
  <c r="K18" i="3" s="1"/>
  <c r="O18" i="3" l="1"/>
  <c r="R18" i="3" s="1"/>
  <c r="M18" i="3"/>
  <c r="L18" i="3"/>
  <c r="D17" i="3"/>
  <c r="Q17" i="3" s="1"/>
  <c r="C17" i="3"/>
  <c r="P17" i="3" s="1"/>
  <c r="B17" i="3"/>
  <c r="O17" i="3" s="1"/>
  <c r="M17" i="3" l="1"/>
  <c r="K17" i="3"/>
  <c r="S18" i="3"/>
  <c r="T18" i="3" s="1"/>
  <c r="R17" i="3"/>
  <c r="L17" i="3"/>
  <c r="D16" i="3"/>
  <c r="Q16" i="3" s="1"/>
  <c r="C16" i="3"/>
  <c r="P16" i="3" s="1"/>
  <c r="B16" i="3"/>
  <c r="K16" i="3" s="1"/>
  <c r="O16" i="3" l="1"/>
  <c r="S17" i="3"/>
  <c r="T17" i="3" s="1"/>
  <c r="M16" i="3"/>
  <c r="L16" i="3"/>
  <c r="R16" i="3"/>
  <c r="D15" i="3"/>
  <c r="Q15" i="3" s="1"/>
  <c r="C15" i="3"/>
  <c r="L15" i="3" s="1"/>
  <c r="B15" i="3"/>
  <c r="K15" i="3" s="1"/>
  <c r="P15" i="3" l="1"/>
  <c r="S16" i="3"/>
  <c r="T16" i="3" s="1"/>
  <c r="O15" i="3"/>
  <c r="R15" i="3" s="1"/>
  <c r="M15" i="3"/>
  <c r="S15" i="3" s="1"/>
  <c r="T15" i="3" s="1"/>
  <c r="D14" i="3"/>
  <c r="B14" i="3"/>
  <c r="C14" i="3"/>
  <c r="K14" i="3" l="1"/>
  <c r="L14" i="3"/>
  <c r="M14" i="3"/>
  <c r="O14" i="3"/>
  <c r="P14" i="3"/>
  <c r="Q14" i="3"/>
  <c r="R14" i="3" l="1"/>
  <c r="S14" i="3"/>
  <c r="T14" i="3" s="1"/>
  <c r="D13" i="3"/>
  <c r="M13" i="3" s="1"/>
  <c r="C13" i="3"/>
  <c r="P13" i="3" s="1"/>
  <c r="B13" i="3"/>
  <c r="K13" i="3" s="1"/>
  <c r="O13" i="3" l="1"/>
  <c r="L13" i="3"/>
  <c r="Q13" i="3"/>
  <c r="R13" i="3" s="1"/>
  <c r="S13" i="3"/>
  <c r="T13" i="3" s="1"/>
  <c r="D12" i="3"/>
  <c r="Q12" i="3" s="1"/>
  <c r="C12" i="3"/>
  <c r="L12" i="3" s="1"/>
  <c r="B12" i="3"/>
  <c r="O12" i="3" s="1"/>
  <c r="P12" i="3" l="1"/>
  <c r="M12" i="3"/>
  <c r="K12" i="3"/>
  <c r="S12" i="3"/>
  <c r="T12" i="3" s="1"/>
  <c r="R12" i="3"/>
  <c r="D11" i="3"/>
  <c r="M11" i="3" s="1"/>
  <c r="C11" i="3"/>
  <c r="P11" i="3" s="1"/>
  <c r="B11" i="3"/>
  <c r="K11" i="3" s="1"/>
  <c r="O11" i="3" l="1"/>
  <c r="Q11" i="3"/>
  <c r="R11" i="3" s="1"/>
  <c r="L11" i="3"/>
  <c r="S11" i="3" s="1"/>
  <c r="T11" i="3" s="1"/>
  <c r="B9" i="3"/>
  <c r="O9" i="3" s="1"/>
  <c r="B10" i="3"/>
  <c r="K10" i="3" s="1"/>
  <c r="D10" i="3"/>
  <c r="Q10" i="3" s="1"/>
  <c r="C10" i="3"/>
  <c r="P10" i="3" s="1"/>
  <c r="C9" i="3"/>
  <c r="P9" i="3" s="1"/>
  <c r="O10" i="3"/>
  <c r="M9" i="3"/>
  <c r="Q9" i="3"/>
  <c r="L10" i="3" l="1"/>
  <c r="L9" i="3"/>
  <c r="K9" i="3"/>
  <c r="M10" i="3"/>
  <c r="R10" i="3"/>
  <c r="R9" i="3"/>
  <c r="D8" i="3"/>
  <c r="Q8" i="3" s="1"/>
  <c r="C8" i="3"/>
  <c r="P8" i="3" s="1"/>
  <c r="B8" i="3"/>
  <c r="O8" i="3" s="1"/>
  <c r="S9" i="3" l="1"/>
  <c r="T9" i="3" s="1"/>
  <c r="S10" i="3"/>
  <c r="T10" i="3" s="1"/>
  <c r="K8" i="3"/>
  <c r="M8" i="3"/>
  <c r="L8" i="3"/>
  <c r="R8" i="3"/>
  <c r="S8" i="3" l="1"/>
  <c r="T8" i="3" s="1"/>
  <c r="Q6" i="3"/>
  <c r="P6" i="3"/>
  <c r="O6" i="3"/>
  <c r="R6" i="3" l="1"/>
  <c r="K6" i="3" l="1"/>
  <c r="L6" i="3" l="1"/>
  <c r="M6" i="3"/>
  <c r="S6" i="3" l="1"/>
  <c r="T6" i="3" l="1"/>
</calcChain>
</file>

<file path=xl/sharedStrings.xml><?xml version="1.0" encoding="utf-8"?>
<sst xmlns="http://schemas.openxmlformats.org/spreadsheetml/2006/main" count="31" uniqueCount="20">
  <si>
    <t>PRECIOS SIN IVA</t>
  </si>
  <si>
    <t>IMPORTE SIN IVA</t>
  </si>
  <si>
    <t>ACEITES</t>
  </si>
  <si>
    <t>IEPS</t>
  </si>
  <si>
    <t>SUMA</t>
  </si>
  <si>
    <t>SUMA TOTAL</t>
  </si>
  <si>
    <t>IVA</t>
  </si>
  <si>
    <t>MAGNA</t>
  </si>
  <si>
    <t>PREMIUM</t>
  </si>
  <si>
    <t>DISEL</t>
  </si>
  <si>
    <t>S/IVA</t>
  </si>
  <si>
    <t>TOTAL IEPS</t>
  </si>
  <si>
    <t>MAG. PREM. DISEL</t>
  </si>
  <si>
    <t>CAMBIO DE PRECIO</t>
  </si>
  <si>
    <t>MODIFICACIÓN DE INFORMACIÓN</t>
  </si>
  <si>
    <t>PRECIOS CON IVA</t>
  </si>
  <si>
    <t>IMPORTES</t>
  </si>
  <si>
    <t>DíA</t>
  </si>
  <si>
    <t>DIESEL</t>
  </si>
  <si>
    <t xml:space="preserve">     ESTACIÓN-9627  (FEBRERO - 2018)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</si>
</sst>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"/>
    <numFmt numFmtId="165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b/>
      <i/>
      <sz val="14"/>
      <color theme="9" tint="-0.499984740745262"/>
      <name val="Arial"/>
      <family val="2"/>
    </font>
    <font>
      <b/>
      <sz val="14"/>
      <color theme="9" tint="-0.499984740745262"/>
      <name val="Arial"/>
      <family val="2"/>
    </font>
    <font>
      <b/>
      <i/>
      <sz val="14"/>
      <color theme="0"/>
      <name val="Arial"/>
      <family val="2"/>
    </font>
    <font>
      <sz val="14"/>
      <color rgb="FFFF0000"/>
      <name val="Arial"/>
      <family val="2"/>
    </font>
    <font>
      <b/>
      <sz val="18"/>
      <name val="Bookman Old Style"/>
      <family val="1"/>
    </font>
    <font>
      <b/>
      <sz val="14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2" fontId="2" fillId="6" borderId="5" xfId="1" applyNumberFormat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2" fillId="6" borderId="0" xfId="1" applyFont="1" applyFill="1" applyBorder="1"/>
    <xf numFmtId="0" fontId="2" fillId="6" borderId="0" xfId="1" applyFont="1" applyFill="1"/>
    <xf numFmtId="0" fontId="2" fillId="8" borderId="5" xfId="1" applyFont="1" applyFill="1" applyBorder="1"/>
    <xf numFmtId="0" fontId="2" fillId="7" borderId="5" xfId="1" applyFont="1" applyFill="1" applyBorder="1"/>
    <xf numFmtId="2" fontId="2" fillId="6" borderId="0" xfId="1" applyNumberFormat="1" applyFont="1" applyFill="1"/>
    <xf numFmtId="0" fontId="7" fillId="7" borderId="2" xfId="1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/>
    </xf>
    <xf numFmtId="0" fontId="7" fillId="7" borderId="3" xfId="1" applyFont="1" applyFill="1" applyBorder="1" applyAlignment="1">
      <alignment horizontal="center"/>
    </xf>
    <xf numFmtId="0" fontId="7" fillId="7" borderId="4" xfId="1" applyFont="1" applyFill="1" applyBorder="1" applyAlignment="1">
      <alignment horizontal="center"/>
    </xf>
    <xf numFmtId="2" fontId="2" fillId="6" borderId="0" xfId="1" applyNumberFormat="1" applyFont="1" applyFill="1" applyBorder="1"/>
    <xf numFmtId="0" fontId="9" fillId="6" borderId="0" xfId="1" applyFont="1" applyFill="1" applyBorder="1"/>
    <xf numFmtId="0" fontId="5" fillId="11" borderId="7" xfId="1" applyFont="1" applyFill="1" applyBorder="1" applyAlignment="1">
      <alignment horizontal="center"/>
    </xf>
    <xf numFmtId="0" fontId="5" fillId="12" borderId="7" xfId="1" applyFont="1" applyFill="1" applyBorder="1" applyAlignment="1">
      <alignment horizontal="center"/>
    </xf>
    <xf numFmtId="0" fontId="8" fillId="10" borderId="6" xfId="1" applyFont="1" applyFill="1" applyBorder="1" applyAlignment="1">
      <alignment horizontal="center"/>
    </xf>
    <xf numFmtId="0" fontId="5" fillId="11" borderId="6" xfId="1" applyFont="1" applyFill="1" applyBorder="1" applyAlignment="1">
      <alignment horizontal="center"/>
    </xf>
    <xf numFmtId="0" fontId="8" fillId="10" borderId="8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5" borderId="7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9" fontId="5" fillId="3" borderId="7" xfId="1" applyNumberFormat="1" applyFont="1" applyFill="1" applyBorder="1" applyAlignment="1">
      <alignment horizontal="center"/>
    </xf>
    <xf numFmtId="16" fontId="2" fillId="6" borderId="11" xfId="1" applyNumberFormat="1" applyFont="1" applyFill="1" applyBorder="1" applyAlignment="1">
      <alignment horizontal="center"/>
    </xf>
    <xf numFmtId="2" fontId="2" fillId="6" borderId="9" xfId="1" applyNumberFormat="1" applyFont="1" applyFill="1" applyBorder="1" applyAlignment="1">
      <alignment horizontal="center"/>
    </xf>
    <xf numFmtId="0" fontId="2" fillId="6" borderId="9" xfId="1" applyFont="1" applyFill="1" applyBorder="1" applyAlignment="1">
      <alignment horizontal="center"/>
    </xf>
    <xf numFmtId="2" fontId="2" fillId="6" borderId="9" xfId="1" applyNumberFormat="1" applyFont="1" applyFill="1" applyBorder="1"/>
    <xf numFmtId="2" fontId="2" fillId="6" borderId="10" xfId="1" applyNumberFormat="1" applyFont="1" applyFill="1" applyBorder="1"/>
    <xf numFmtId="2" fontId="4" fillId="6" borderId="0" xfId="1" applyNumberFormat="1" applyFont="1" applyFill="1" applyBorder="1" applyAlignment="1"/>
    <xf numFmtId="2" fontId="2" fillId="0" borderId="5" xfId="1" applyNumberFormat="1" applyFont="1" applyFill="1" applyBorder="1" applyAlignment="1">
      <alignment horizontal="center"/>
    </xf>
    <xf numFmtId="0" fontId="2" fillId="0" borderId="0" xfId="1" applyFont="1" applyFill="1"/>
    <xf numFmtId="0" fontId="2" fillId="0" borderId="5" xfId="1" applyFont="1" applyFill="1" applyBorder="1" applyAlignment="1">
      <alignment horizontal="center"/>
    </xf>
    <xf numFmtId="164" fontId="2" fillId="0" borderId="0" xfId="1" applyNumberFormat="1" applyFont="1" applyFill="1"/>
    <xf numFmtId="2" fontId="2" fillId="0" borderId="0" xfId="1" applyNumberFormat="1" applyFont="1" applyFill="1"/>
    <xf numFmtId="2" fontId="2" fillId="0" borderId="9" xfId="1" applyNumberFormat="1" applyFont="1" applyFill="1" applyBorder="1"/>
    <xf numFmtId="16" fontId="2" fillId="0" borderId="11" xfId="1" applyNumberFormat="1" applyFont="1" applyFill="1" applyBorder="1" applyAlignment="1">
      <alignment horizontal="center"/>
    </xf>
    <xf numFmtId="2" fontId="2" fillId="0" borderId="9" xfId="1" applyNumberFormat="1" applyFont="1" applyFill="1" applyBorder="1" applyAlignment="1">
      <alignment horizontal="center"/>
    </xf>
    <xf numFmtId="2" fontId="2" fillId="0" borderId="10" xfId="1" applyNumberFormat="1" applyFont="1" applyFill="1" applyBorder="1"/>
    <xf numFmtId="0" fontId="2" fillId="0" borderId="0" xfId="1" applyFont="1" applyFill="1" applyBorder="1"/>
    <xf numFmtId="0" fontId="2" fillId="14" borderId="5" xfId="1" applyFont="1" applyFill="1" applyBorder="1"/>
    <xf numFmtId="0" fontId="2" fillId="11" borderId="0" xfId="1" applyFont="1" applyFill="1"/>
    <xf numFmtId="2" fontId="2" fillId="0" borderId="13" xfId="1" applyNumberFormat="1" applyFont="1" applyFill="1" applyBorder="1"/>
    <xf numFmtId="16" fontId="2" fillId="15" borderId="11" xfId="1" applyNumberFormat="1" applyFont="1" applyFill="1" applyBorder="1" applyAlignment="1">
      <alignment horizontal="center"/>
    </xf>
    <xf numFmtId="2" fontId="2" fillId="11" borderId="5" xfId="1" applyNumberFormat="1" applyFont="1" applyFill="1" applyBorder="1" applyAlignment="1">
      <alignment horizontal="center"/>
    </xf>
    <xf numFmtId="2" fontId="2" fillId="11" borderId="13" xfId="1" applyNumberFormat="1" applyFont="1" applyFill="1" applyBorder="1"/>
    <xf numFmtId="2" fontId="2" fillId="11" borderId="9" xfId="1" applyNumberFormat="1" applyFont="1" applyFill="1" applyBorder="1"/>
    <xf numFmtId="2" fontId="2" fillId="11" borderId="10" xfId="1" applyNumberFormat="1" applyFont="1" applyFill="1" applyBorder="1"/>
    <xf numFmtId="0" fontId="2" fillId="11" borderId="5" xfId="1" applyFont="1" applyFill="1" applyBorder="1" applyAlignment="1">
      <alignment horizontal="center"/>
    </xf>
    <xf numFmtId="0" fontId="10" fillId="9" borderId="1" xfId="1" applyFont="1" applyFill="1" applyBorder="1" applyAlignment="1">
      <alignment horizontal="center" vertical="center"/>
    </xf>
    <xf numFmtId="0" fontId="10" fillId="9" borderId="2" xfId="1" applyFont="1" applyFill="1" applyBorder="1" applyAlignment="1">
      <alignment horizontal="center" vertical="center"/>
    </xf>
    <xf numFmtId="0" fontId="10" fillId="9" borderId="3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/>
    </xf>
    <xf numFmtId="0" fontId="6" fillId="7" borderId="2" xfId="1" applyFont="1" applyFill="1" applyBorder="1" applyAlignment="1">
      <alignment horizontal="center"/>
    </xf>
    <xf numFmtId="0" fontId="6" fillId="7" borderId="3" xfId="1" applyFont="1" applyFill="1" applyBorder="1" applyAlignment="1">
      <alignment horizontal="center"/>
    </xf>
    <xf numFmtId="0" fontId="3" fillId="13" borderId="7" xfId="1" applyFont="1" applyFill="1" applyBorder="1" applyAlignment="1">
      <alignment horizontal="center" vertical="center" textRotation="45"/>
    </xf>
    <xf numFmtId="0" fontId="0" fillId="0" borderId="12" xfId="0" applyBorder="1" applyAlignment="1">
      <alignment textRotation="45"/>
    </xf>
    <xf numFmtId="0" fontId="2" fillId="0" borderId="9" xfId="1" applyFont="1" applyFill="1" applyBorder="1" applyAlignment="1">
      <alignment horizontal="center"/>
    </xf>
    <xf numFmtId="2" fontId="11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2" fontId="11" fillId="0" borderId="9" xfId="1" applyNumberFormat="1" applyFont="1" applyFill="1" applyBorder="1" applyAlignment="1">
      <alignment horizontal="center"/>
    </xf>
    <xf numFmtId="2" fontId="3" fillId="0" borderId="9" xfId="1" applyNumberFormat="1" applyFont="1" applyFill="1" applyBorder="1" applyAlignment="1">
      <alignment horizontal="center"/>
    </xf>
    <xf numFmtId="2" fontId="11" fillId="6" borderId="9" xfId="1" applyNumberFormat="1" applyFont="1" applyFill="1" applyBorder="1" applyAlignment="1">
      <alignment horizontal="center"/>
    </xf>
    <xf numFmtId="2" fontId="3" fillId="6" borderId="9" xfId="1" applyNumberFormat="1" applyFont="1" applyFill="1" applyBorder="1" applyAlignment="1">
      <alignment horizontal="center"/>
    </xf>
    <xf numFmtId="2" fontId="11" fillId="14" borderId="5" xfId="1" applyNumberFormat="1" applyFont="1" applyFill="1" applyBorder="1" applyAlignment="1">
      <alignment horizontal="center"/>
    </xf>
    <xf numFmtId="2" fontId="3" fillId="14" borderId="5" xfId="1" applyNumberFormat="1" applyFont="1" applyFill="1" applyBorder="1" applyAlignment="1">
      <alignment horizontal="center"/>
    </xf>
    <xf numFmtId="2" fontId="11" fillId="11" borderId="5" xfId="1" applyNumberFormat="1" applyFont="1" applyFill="1" applyBorder="1" applyAlignment="1">
      <alignment horizontal="center"/>
    </xf>
    <xf numFmtId="2" fontId="11" fillId="11" borderId="9" xfId="1" applyNumberFormat="1" applyFont="1" applyFill="1" applyBorder="1" applyAlignment="1">
      <alignment horizontal="center"/>
    </xf>
    <xf numFmtId="2" fontId="3" fillId="11" borderId="9" xfId="1" applyNumberFormat="1" applyFont="1" applyFill="1" applyBorder="1" applyAlignment="1">
      <alignment horizontal="center"/>
    </xf>
    <xf numFmtId="2" fontId="11" fillId="14" borderId="13" xfId="1" applyNumberFormat="1" applyFont="1" applyFill="1" applyBorder="1" applyAlignment="1">
      <alignment horizontal="center"/>
    </xf>
    <xf numFmtId="2" fontId="3" fillId="14" borderId="13" xfId="1" applyNumberFormat="1" applyFont="1" applyFill="1" applyBorder="1" applyAlignment="1">
      <alignment horizontal="center"/>
    </xf>
    <xf numFmtId="164" fontId="3" fillId="0" borderId="9" xfId="1" applyNumberFormat="1" applyFont="1" applyFill="1" applyBorder="1"/>
    <xf numFmtId="164" fontId="3" fillId="6" borderId="9" xfId="1" applyNumberFormat="1" applyFont="1" applyFill="1" applyBorder="1"/>
    <xf numFmtId="164" fontId="3" fillId="14" borderId="5" xfId="1" applyNumberFormat="1" applyFont="1" applyFill="1" applyBorder="1"/>
    <xf numFmtId="164" fontId="3" fillId="0" borderId="5" xfId="1" applyNumberFormat="1" applyFont="1" applyFill="1" applyBorder="1"/>
    <xf numFmtId="164" fontId="11" fillId="14" borderId="5" xfId="1" applyNumberFormat="1" applyFont="1" applyFill="1" applyBorder="1"/>
    <xf numFmtId="164" fontId="11" fillId="0" borderId="5" xfId="1" applyNumberFormat="1" applyFont="1" applyFill="1" applyBorder="1"/>
    <xf numFmtId="164" fontId="11" fillId="11" borderId="5" xfId="1" applyNumberFormat="1" applyFont="1" applyFill="1" applyBorder="1"/>
    <xf numFmtId="164" fontId="3" fillId="11" borderId="9" xfId="1" applyNumberFormat="1" applyFont="1" applyFill="1" applyBorder="1"/>
    <xf numFmtId="164" fontId="3" fillId="14" borderId="13" xfId="1" applyNumberFormat="1" applyFont="1" applyFill="1" applyBorder="1"/>
    <xf numFmtId="164" fontId="3" fillId="0" borderId="13" xfId="1" applyNumberFormat="1" applyFont="1" applyFill="1" applyBorder="1"/>
  </cellXfs>
  <cellStyles count="8">
    <cellStyle name="Euro" xfId="2"/>
    <cellStyle name="Millares 2" xfId="3"/>
    <cellStyle name="Moneda 2" xfId="4"/>
    <cellStyle name="NivelFila_1" xfId="5"/>
    <cellStyle name="Normal" xfId="0" builtinId="0"/>
    <cellStyle name="Normal 2" xfId="1"/>
    <cellStyle name="Normal 3" xfId="6"/>
    <cellStyle name="Normal 4" xfId="7"/>
  </cellStyles>
  <dxfs count="0"/>
  <tableStyles count="0" defaultTableStyle="TableStyleMedium9" defaultPivotStyle="PivotStyleLight16"/>
  <colors>
    <mruColors>
      <color rgb="FF66FF66"/>
      <color rgb="FF008A3E"/>
      <color rgb="FFD00000"/>
      <color rgb="FF9966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O89"/>
  <sheetViews>
    <sheetView tabSelected="1" zoomScale="90" zoomScaleNormal="90" workbookViewId="0">
      <selection activeCell="U29" sqref="U29:V41"/>
    </sheetView>
  </sheetViews>
  <sheetFormatPr baseColWidth="10" defaultColWidth="11.7109375" defaultRowHeight="18" x14ac:dyDescent="0.25"/>
  <cols>
    <col min="1" max="7" width="15.7109375" style="1" customWidth="1"/>
    <col min="8" max="8" width="17.42578125" style="1" customWidth="1"/>
    <col min="9" max="9" width="17" style="1" customWidth="1"/>
    <col min="10" max="10" width="15.7109375" style="1" customWidth="1"/>
    <col min="11" max="11" width="19.140625" style="1" customWidth="1"/>
    <col min="12" max="12" width="19" style="1" customWidth="1"/>
    <col min="13" max="13" width="18.7109375" style="1" customWidth="1"/>
    <col min="14" max="17" width="15.7109375" style="1" customWidth="1"/>
    <col min="18" max="18" width="17.85546875" style="1" bestFit="1" customWidth="1"/>
    <col min="19" max="19" width="27.140625" style="1" bestFit="1" customWidth="1"/>
    <col min="20" max="20" width="15.7109375" style="1" customWidth="1"/>
    <col min="21" max="21" width="14.5703125" style="1" bestFit="1" customWidth="1"/>
    <col min="22" max="22" width="19.7109375" style="1" customWidth="1"/>
    <col min="23" max="23" width="13" style="1" bestFit="1" customWidth="1"/>
    <col min="24" max="24" width="14.5703125" style="1" bestFit="1" customWidth="1"/>
    <col min="25" max="26" width="11.7109375" style="1"/>
    <col min="27" max="27" width="13" style="1" bestFit="1" customWidth="1"/>
    <col min="28" max="28" width="14.5703125" style="1" bestFit="1" customWidth="1"/>
    <col min="29" max="16384" width="11.7109375" style="1"/>
  </cols>
  <sheetData>
    <row r="1" spans="1:379" s="5" customFormat="1" ht="21.75" customHeight="1" thickBot="1" x14ac:dyDescent="0.3"/>
    <row r="2" spans="1:379" ht="18" hidden="1" customHeight="1" x14ac:dyDescent="0.25"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379" ht="34.5" customHeight="1" thickBot="1" x14ac:dyDescent="0.4">
      <c r="A3" s="52" t="s">
        <v>19</v>
      </c>
      <c r="B3" s="53"/>
      <c r="C3" s="53"/>
      <c r="D3" s="53"/>
      <c r="E3" s="53"/>
      <c r="F3" s="53"/>
      <c r="G3" s="53"/>
      <c r="H3" s="53"/>
      <c r="I3" s="53"/>
      <c r="J3" s="54"/>
      <c r="K3" s="32"/>
      <c r="L3" s="32"/>
      <c r="M3" s="32"/>
      <c r="N3" s="32"/>
      <c r="O3" s="5"/>
      <c r="P3" s="5"/>
      <c r="Q3" s="5"/>
      <c r="R3" s="8"/>
      <c r="S3" s="8"/>
      <c r="T3" s="8"/>
      <c r="U3" s="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379" s="5" customFormat="1" ht="18" customHeight="1" thickBot="1" x14ac:dyDescent="0.35">
      <c r="A4" s="58" t="s">
        <v>17</v>
      </c>
      <c r="B4" s="55" t="s">
        <v>16</v>
      </c>
      <c r="C4" s="56"/>
      <c r="D4" s="57"/>
      <c r="E4" s="55" t="s">
        <v>15</v>
      </c>
      <c r="F4" s="56"/>
      <c r="G4" s="57"/>
      <c r="H4" s="55" t="s">
        <v>0</v>
      </c>
      <c r="I4" s="56"/>
      <c r="J4" s="57"/>
      <c r="K4" s="55" t="s">
        <v>1</v>
      </c>
      <c r="L4" s="56"/>
      <c r="M4" s="57"/>
      <c r="N4" s="9" t="s">
        <v>2</v>
      </c>
      <c r="O4" s="10"/>
      <c r="P4" s="9" t="s">
        <v>3</v>
      </c>
      <c r="Q4" s="11"/>
      <c r="R4" s="11" t="s">
        <v>4</v>
      </c>
      <c r="S4" s="12" t="s">
        <v>5</v>
      </c>
      <c r="T4" s="12" t="s">
        <v>6</v>
      </c>
      <c r="U4" s="4"/>
    </row>
    <row r="5" spans="1:379" ht="18" customHeight="1" thickBot="1" x14ac:dyDescent="0.35">
      <c r="A5" s="59"/>
      <c r="B5" s="15" t="s">
        <v>7</v>
      </c>
      <c r="C5" s="16" t="s">
        <v>8</v>
      </c>
      <c r="D5" s="17" t="s">
        <v>9</v>
      </c>
      <c r="E5" s="20" t="s">
        <v>7</v>
      </c>
      <c r="F5" s="20" t="s">
        <v>8</v>
      </c>
      <c r="G5" s="21" t="s">
        <v>18</v>
      </c>
      <c r="H5" s="22" t="s">
        <v>7</v>
      </c>
      <c r="I5" s="21" t="s">
        <v>8</v>
      </c>
      <c r="J5" s="20" t="s">
        <v>9</v>
      </c>
      <c r="K5" s="18" t="s">
        <v>7</v>
      </c>
      <c r="L5" s="16" t="s">
        <v>8</v>
      </c>
      <c r="M5" s="19" t="s">
        <v>9</v>
      </c>
      <c r="N5" s="23" t="s">
        <v>10</v>
      </c>
      <c r="O5" s="24" t="s">
        <v>7</v>
      </c>
      <c r="P5" s="24" t="s">
        <v>8</v>
      </c>
      <c r="Q5" s="24" t="s">
        <v>9</v>
      </c>
      <c r="R5" s="25" t="s">
        <v>11</v>
      </c>
      <c r="S5" s="26" t="s">
        <v>12</v>
      </c>
      <c r="T5" s="26">
        <v>0.16</v>
      </c>
      <c r="U5" s="4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</row>
    <row r="6" spans="1:379" s="34" customFormat="1" ht="18" customHeight="1" thickBot="1" x14ac:dyDescent="0.3">
      <c r="A6" s="46">
        <v>43132</v>
      </c>
      <c r="B6" s="40">
        <v>2151.67</v>
      </c>
      <c r="C6" s="40">
        <v>300.33</v>
      </c>
      <c r="D6" s="60">
        <v>0</v>
      </c>
      <c r="E6" s="63">
        <v>17.21</v>
      </c>
      <c r="F6" s="64">
        <v>19.07</v>
      </c>
      <c r="G6" s="64">
        <v>18.25</v>
      </c>
      <c r="H6" s="74">
        <v>14.486897000000001</v>
      </c>
      <c r="I6" s="74">
        <v>16.013448</v>
      </c>
      <c r="J6" s="74">
        <v>15.442845</v>
      </c>
      <c r="K6" s="38">
        <f t="shared" ref="K6:M6" si="0">B6*H6</f>
        <v>31171.021667990004</v>
      </c>
      <c r="L6" s="38">
        <f t="shared" si="0"/>
        <v>4809.31883784</v>
      </c>
      <c r="M6" s="38">
        <f t="shared" si="0"/>
        <v>0</v>
      </c>
      <c r="N6" s="38">
        <v>0</v>
      </c>
      <c r="O6" s="38">
        <f t="shared" ref="O6:O12" si="1">B6*0.4052</f>
        <v>871.85668400000009</v>
      </c>
      <c r="P6" s="38">
        <f t="shared" ref="P6:P12" si="2">C6*0.4944</f>
        <v>148.48315199999999</v>
      </c>
      <c r="Q6" s="38">
        <f t="shared" ref="Q6:Q12" si="3">D6*0.3363</f>
        <v>0</v>
      </c>
      <c r="R6" s="38">
        <f t="shared" ref="R6:R12" si="4">O6+P6+Q6</f>
        <v>1020.3398360000001</v>
      </c>
      <c r="S6" s="38">
        <f t="shared" ref="S6:S12" si="5">SUM(K6+L6+M6+N6)</f>
        <v>35980.340505830005</v>
      </c>
      <c r="T6" s="41">
        <f t="shared" ref="T6" si="6">S6*16%</f>
        <v>5756.8544809328005</v>
      </c>
      <c r="U6" s="42"/>
    </row>
    <row r="7" spans="1:379" s="34" customFormat="1" ht="18" customHeight="1" thickBot="1" x14ac:dyDescent="0.3">
      <c r="A7" s="46">
        <v>43132</v>
      </c>
      <c r="B7" s="40">
        <v>8237.32</v>
      </c>
      <c r="C7" s="40">
        <v>1218.4000000000001</v>
      </c>
      <c r="D7" s="60">
        <v>1855.77</v>
      </c>
      <c r="E7" s="63">
        <v>17.25</v>
      </c>
      <c r="F7" s="64">
        <v>19.09</v>
      </c>
      <c r="G7" s="64">
        <v>18.29</v>
      </c>
      <c r="H7" s="74">
        <v>14.521379</v>
      </c>
      <c r="I7" s="74">
        <v>16.03069</v>
      </c>
      <c r="J7" s="74">
        <v>15.477328</v>
      </c>
      <c r="K7" s="38">
        <f t="shared" ref="K7" si="7">B7*H7</f>
        <v>119617.24566428</v>
      </c>
      <c r="L7" s="38">
        <f t="shared" ref="L7" si="8">C7*I7</f>
        <v>19531.792696</v>
      </c>
      <c r="M7" s="38">
        <f t="shared" ref="M7" si="9">D7*J7</f>
        <v>28722.36098256</v>
      </c>
      <c r="N7" s="38">
        <v>68.959999999999994</v>
      </c>
      <c r="O7" s="38">
        <f t="shared" ref="O7" si="10">B7*0.4052</f>
        <v>3337.762064</v>
      </c>
      <c r="P7" s="38">
        <f t="shared" ref="P7" si="11">C7*0.4944</f>
        <v>602.37696000000005</v>
      </c>
      <c r="Q7" s="38">
        <f t="shared" ref="Q7" si="12">D7*0.3363</f>
        <v>624.09545100000003</v>
      </c>
      <c r="R7" s="38">
        <f t="shared" ref="R7" si="13">O7+P7+Q7</f>
        <v>4564.2344750000002</v>
      </c>
      <c r="S7" s="38">
        <f t="shared" ref="S7" si="14">SUM(K7+L7+M7+N7)</f>
        <v>167940.35934283998</v>
      </c>
      <c r="T7" s="41">
        <f t="shared" ref="T7" si="15">S7*16%</f>
        <v>26870.457494854396</v>
      </c>
      <c r="U7" s="42"/>
    </row>
    <row r="8" spans="1:379" s="5" customFormat="1" ht="18" customHeight="1" thickBot="1" x14ac:dyDescent="0.3">
      <c r="A8" s="27">
        <v>43133</v>
      </c>
      <c r="B8" s="28">
        <f>710+5257+5973.2</f>
        <v>11940.2</v>
      </c>
      <c r="C8" s="28">
        <f>883+629+130</f>
        <v>1642</v>
      </c>
      <c r="D8" s="29">
        <f>224+642+350</f>
        <v>1216</v>
      </c>
      <c r="E8" s="65">
        <v>17.27</v>
      </c>
      <c r="F8" s="66">
        <v>19.09</v>
      </c>
      <c r="G8" s="66">
        <v>18.329999999999998</v>
      </c>
      <c r="H8" s="75">
        <v>14.538620999999999</v>
      </c>
      <c r="I8" s="75">
        <v>16.03069</v>
      </c>
      <c r="J8" s="75">
        <v>15.511810000000001</v>
      </c>
      <c r="K8" s="30">
        <f t="shared" ref="K8" si="16">B8*H8</f>
        <v>173594.0424642</v>
      </c>
      <c r="L8" s="30">
        <f t="shared" ref="L8" si="17">C8*I8</f>
        <v>26322.392980000001</v>
      </c>
      <c r="M8" s="30">
        <f t="shared" ref="M8" si="18">D8*J8</f>
        <v>18862.360960000002</v>
      </c>
      <c r="N8" s="38">
        <v>400.87</v>
      </c>
      <c r="O8" s="30">
        <f t="shared" si="1"/>
        <v>4838.1690400000007</v>
      </c>
      <c r="P8" s="30">
        <f t="shared" si="2"/>
        <v>811.8048</v>
      </c>
      <c r="Q8" s="30">
        <f t="shared" si="3"/>
        <v>408.94079999999997</v>
      </c>
      <c r="R8" s="30">
        <f t="shared" si="4"/>
        <v>6058.9146400000009</v>
      </c>
      <c r="S8" s="38">
        <f t="shared" si="5"/>
        <v>219179.66640419999</v>
      </c>
      <c r="T8" s="31">
        <f t="shared" ref="T8" si="19">S8*16%</f>
        <v>35068.746624672</v>
      </c>
      <c r="U8" s="4"/>
    </row>
    <row r="9" spans="1:379" s="34" customFormat="1" ht="18" customHeight="1" thickBot="1" x14ac:dyDescent="0.3">
      <c r="A9" s="39">
        <v>43134</v>
      </c>
      <c r="B9" s="33">
        <f>818+1027+353.65</f>
        <v>2198.65</v>
      </c>
      <c r="C9" s="33">
        <f>86+68</f>
        <v>154</v>
      </c>
      <c r="D9" s="35">
        <v>44</v>
      </c>
      <c r="E9" s="63">
        <v>17.27</v>
      </c>
      <c r="F9" s="64">
        <v>19.09</v>
      </c>
      <c r="G9" s="64">
        <v>18.329999999999998</v>
      </c>
      <c r="H9" s="74">
        <v>14.538620999999999</v>
      </c>
      <c r="I9" s="74">
        <v>16.03069</v>
      </c>
      <c r="J9" s="74">
        <v>15.511810000000001</v>
      </c>
      <c r="K9" s="38">
        <f t="shared" ref="K9" si="20">B9*H9</f>
        <v>31965.33906165</v>
      </c>
      <c r="L9" s="38">
        <f t="shared" ref="L9" si="21">C9*I9</f>
        <v>2468.7262599999999</v>
      </c>
      <c r="M9" s="38">
        <f t="shared" ref="M9" si="22">D9*J9</f>
        <v>682.51963999999998</v>
      </c>
      <c r="N9" s="38">
        <v>0</v>
      </c>
      <c r="O9" s="38">
        <f t="shared" si="1"/>
        <v>890.89298000000008</v>
      </c>
      <c r="P9" s="38">
        <f t="shared" si="2"/>
        <v>76.137600000000006</v>
      </c>
      <c r="Q9" s="38">
        <f t="shared" si="3"/>
        <v>14.7972</v>
      </c>
      <c r="R9" s="38">
        <f t="shared" si="4"/>
        <v>981.82778000000008</v>
      </c>
      <c r="S9" s="38">
        <f t="shared" si="5"/>
        <v>35116.584961649998</v>
      </c>
      <c r="T9" s="41">
        <f t="shared" ref="T9:T10" si="23">S9*16%</f>
        <v>5618.653593864</v>
      </c>
      <c r="U9" s="42"/>
    </row>
    <row r="10" spans="1:379" s="34" customFormat="1" ht="18" customHeight="1" thickBot="1" x14ac:dyDescent="0.3">
      <c r="A10" s="39">
        <v>43134</v>
      </c>
      <c r="B10" s="33">
        <f>5417+4695-444.77+147.59</f>
        <v>9814.82</v>
      </c>
      <c r="C10" s="33">
        <f>1005+862-77.08</f>
        <v>1789.92</v>
      </c>
      <c r="D10" s="35">
        <f>151+227</f>
        <v>378</v>
      </c>
      <c r="E10" s="67">
        <v>17.350000000000001</v>
      </c>
      <c r="F10" s="68">
        <v>19.149999999999999</v>
      </c>
      <c r="G10" s="68">
        <v>18.350000000000001</v>
      </c>
      <c r="H10" s="76">
        <v>14.607586</v>
      </c>
      <c r="I10" s="76">
        <v>16.082414</v>
      </c>
      <c r="J10" s="76">
        <v>15.529052</v>
      </c>
      <c r="K10" s="38">
        <f t="shared" ref="K10" si="24">B10*H10</f>
        <v>143370.82722451998</v>
      </c>
      <c r="L10" s="38">
        <f t="shared" ref="L10" si="25">C10*I10</f>
        <v>28786.23446688</v>
      </c>
      <c r="M10" s="38">
        <f t="shared" ref="M10" si="26">D10*J10</f>
        <v>5869.9816559999999</v>
      </c>
      <c r="N10" s="38">
        <v>137.94</v>
      </c>
      <c r="O10" s="38">
        <f t="shared" si="1"/>
        <v>3976.965064</v>
      </c>
      <c r="P10" s="38">
        <f t="shared" si="2"/>
        <v>884.93644800000004</v>
      </c>
      <c r="Q10" s="38">
        <f t="shared" si="3"/>
        <v>127.12139999999999</v>
      </c>
      <c r="R10" s="38">
        <f t="shared" si="4"/>
        <v>4989.0229120000004</v>
      </c>
      <c r="S10" s="38">
        <f t="shared" si="5"/>
        <v>178164.98334739998</v>
      </c>
      <c r="T10" s="41">
        <f t="shared" si="23"/>
        <v>28506.397335583995</v>
      </c>
      <c r="U10" s="42"/>
    </row>
    <row r="11" spans="1:379" s="34" customFormat="1" ht="18" customHeight="1" thickBot="1" x14ac:dyDescent="0.3">
      <c r="A11" s="39">
        <v>43135</v>
      </c>
      <c r="B11" s="33">
        <f>3528+4510+962-30.85</f>
        <v>8969.15</v>
      </c>
      <c r="C11" s="33">
        <f>771+630+77-5.76</f>
        <v>1472.24</v>
      </c>
      <c r="D11" s="35">
        <f>86+240+0</f>
        <v>326</v>
      </c>
      <c r="E11" s="61">
        <v>17.350000000000001</v>
      </c>
      <c r="F11" s="62">
        <v>19.149999999999999</v>
      </c>
      <c r="G11" s="62">
        <v>18.350000000000001</v>
      </c>
      <c r="H11" s="77">
        <v>14.607586</v>
      </c>
      <c r="I11" s="77">
        <v>16.082414</v>
      </c>
      <c r="J11" s="77">
        <v>15.529052</v>
      </c>
      <c r="K11" s="38">
        <f t="shared" ref="K11" si="27">B11*H11</f>
        <v>131017.62997189999</v>
      </c>
      <c r="L11" s="38">
        <f t="shared" ref="L11" si="28">C11*I11</f>
        <v>23677.17318736</v>
      </c>
      <c r="M11" s="38">
        <f t="shared" ref="M11" si="29">D11*J11</f>
        <v>5062.4709519999997</v>
      </c>
      <c r="N11" s="38">
        <v>172.42</v>
      </c>
      <c r="O11" s="38">
        <f t="shared" si="1"/>
        <v>3634.2995799999999</v>
      </c>
      <c r="P11" s="38">
        <f t="shared" si="2"/>
        <v>727.87545599999999</v>
      </c>
      <c r="Q11" s="38">
        <f t="shared" si="3"/>
        <v>109.63379999999999</v>
      </c>
      <c r="R11" s="38">
        <f t="shared" si="4"/>
        <v>4471.8088359999992</v>
      </c>
      <c r="S11" s="38">
        <f t="shared" si="5"/>
        <v>159929.69411126</v>
      </c>
      <c r="T11" s="41">
        <f t="shared" ref="T11:T17" si="30">S11*16%</f>
        <v>25588.751057801601</v>
      </c>
      <c r="U11" s="42"/>
    </row>
    <row r="12" spans="1:379" s="5" customFormat="1" ht="18" customHeight="1" thickBot="1" x14ac:dyDescent="0.3">
      <c r="A12" s="27">
        <v>43136</v>
      </c>
      <c r="B12" s="2">
        <f>4534+4366+715-40.92</f>
        <v>9574.08</v>
      </c>
      <c r="C12" s="2">
        <f>883+766+148</f>
        <v>1797</v>
      </c>
      <c r="D12" s="3">
        <f>49+291+0</f>
        <v>340</v>
      </c>
      <c r="E12" s="61">
        <v>17.350000000000001</v>
      </c>
      <c r="F12" s="62">
        <v>19.149999999999999</v>
      </c>
      <c r="G12" s="62">
        <v>18.350000000000001</v>
      </c>
      <c r="H12" s="77">
        <v>14.607586</v>
      </c>
      <c r="I12" s="77">
        <v>16.082414</v>
      </c>
      <c r="J12" s="77">
        <v>15.529052</v>
      </c>
      <c r="K12" s="38">
        <f t="shared" ref="K12" si="31">B12*H12</f>
        <v>139854.19697088</v>
      </c>
      <c r="L12" s="38">
        <f t="shared" ref="L12" si="32">C12*I12</f>
        <v>28900.097957999998</v>
      </c>
      <c r="M12" s="38">
        <f t="shared" ref="M12" si="33">D12*J12</f>
        <v>5279.8776799999996</v>
      </c>
      <c r="N12" s="38">
        <v>224.14</v>
      </c>
      <c r="O12" s="38">
        <f t="shared" si="1"/>
        <v>3879.4172159999998</v>
      </c>
      <c r="P12" s="38">
        <f t="shared" si="2"/>
        <v>888.43680000000006</v>
      </c>
      <c r="Q12" s="38">
        <f t="shared" si="3"/>
        <v>114.342</v>
      </c>
      <c r="R12" s="38">
        <f t="shared" si="4"/>
        <v>4882.1960159999999</v>
      </c>
      <c r="S12" s="38">
        <f t="shared" si="5"/>
        <v>174258.31260888002</v>
      </c>
      <c r="T12" s="41">
        <f t="shared" si="30"/>
        <v>27881.330017420805</v>
      </c>
      <c r="U12" s="4"/>
    </row>
    <row r="13" spans="1:379" s="5" customFormat="1" ht="18" customHeight="1" thickBot="1" x14ac:dyDescent="0.3">
      <c r="A13" s="27">
        <v>43137</v>
      </c>
      <c r="B13" s="2">
        <f>486+5125+4512-16.96</f>
        <v>10106.040000000001</v>
      </c>
      <c r="C13" s="2">
        <f>829+510+54</f>
        <v>1393</v>
      </c>
      <c r="D13" s="3">
        <f>867+129+0</f>
        <v>996</v>
      </c>
      <c r="E13" s="67">
        <v>17.350000000000001</v>
      </c>
      <c r="F13" s="67">
        <v>19.149999999999999</v>
      </c>
      <c r="G13" s="67">
        <v>18.350000000000001</v>
      </c>
      <c r="H13" s="78">
        <v>14.607586</v>
      </c>
      <c r="I13" s="78">
        <v>16.082414</v>
      </c>
      <c r="J13" s="78">
        <v>15.529052</v>
      </c>
      <c r="K13" s="38">
        <f t="shared" ref="K13" si="34">B13*H13</f>
        <v>147624.84841944001</v>
      </c>
      <c r="L13" s="38">
        <f t="shared" ref="L13" si="35">C13*I13</f>
        <v>22402.802702000001</v>
      </c>
      <c r="M13" s="38">
        <f t="shared" ref="M13" si="36">D13*J13</f>
        <v>15466.935792</v>
      </c>
      <c r="N13" s="38">
        <v>0</v>
      </c>
      <c r="O13" s="38">
        <f t="shared" ref="O13" si="37">B13*0.4052</f>
        <v>4094.9674080000004</v>
      </c>
      <c r="P13" s="38">
        <f t="shared" ref="P13" si="38">C13*0.4944</f>
        <v>688.69920000000002</v>
      </c>
      <c r="Q13" s="38">
        <f t="shared" ref="Q13" si="39">D13*0.3363</f>
        <v>334.95479999999998</v>
      </c>
      <c r="R13" s="38">
        <f t="shared" ref="R13" si="40">O13+P13+Q13</f>
        <v>5118.6214080000009</v>
      </c>
      <c r="S13" s="38">
        <f t="shared" ref="S13" si="41">SUM(K13+L13+M13+N13)</f>
        <v>185494.58691344</v>
      </c>
      <c r="T13" s="41">
        <f t="shared" si="30"/>
        <v>29679.1339061504</v>
      </c>
      <c r="U13" s="4"/>
    </row>
    <row r="14" spans="1:379" s="34" customFormat="1" ht="18" customHeight="1" thickBot="1" x14ac:dyDescent="0.3">
      <c r="A14" s="39">
        <v>43138</v>
      </c>
      <c r="B14" s="33">
        <f>3978+473+4528-70.88</f>
        <v>8908.1200000000008</v>
      </c>
      <c r="C14" s="33">
        <f>568+59+492</f>
        <v>1119</v>
      </c>
      <c r="D14" s="35">
        <f>470+463</f>
        <v>933</v>
      </c>
      <c r="E14" s="61">
        <v>17.350000000000001</v>
      </c>
      <c r="F14" s="61">
        <v>19.149999999999999</v>
      </c>
      <c r="G14" s="61">
        <v>18.350000000000001</v>
      </c>
      <c r="H14" s="79">
        <v>14.607586</v>
      </c>
      <c r="I14" s="79">
        <v>16.082414</v>
      </c>
      <c r="J14" s="79">
        <v>15.529052</v>
      </c>
      <c r="K14" s="38">
        <f t="shared" ref="K14" si="42">B14*H14</f>
        <v>130126.12899832001</v>
      </c>
      <c r="L14" s="38">
        <f t="shared" ref="L14" si="43">C14*I14</f>
        <v>17996.221266</v>
      </c>
      <c r="M14" s="38">
        <f t="shared" ref="M14" si="44">D14*J14</f>
        <v>14488.605516</v>
      </c>
      <c r="N14" s="38">
        <v>241.38</v>
      </c>
      <c r="O14" s="38">
        <f t="shared" ref="O14" si="45">B14*0.4052</f>
        <v>3609.5702240000005</v>
      </c>
      <c r="P14" s="38">
        <f t="shared" ref="P14" si="46">C14*0.4944</f>
        <v>553.23360000000002</v>
      </c>
      <c r="Q14" s="38">
        <f t="shared" ref="Q14" si="47">D14*0.3363</f>
        <v>313.7679</v>
      </c>
      <c r="R14" s="38">
        <f t="shared" ref="R14" si="48">O14+P14+Q14</f>
        <v>4476.5717240000004</v>
      </c>
      <c r="S14" s="38">
        <f t="shared" ref="S14" si="49">SUM(K14+L14+M14+N14)</f>
        <v>162852.33578032002</v>
      </c>
      <c r="T14" s="41">
        <f t="shared" si="30"/>
        <v>26056.373724851204</v>
      </c>
      <c r="U14" s="42"/>
    </row>
    <row r="15" spans="1:379" s="5" customFormat="1" ht="18" customHeight="1" thickBot="1" x14ac:dyDescent="0.3">
      <c r="A15" s="27">
        <v>43139</v>
      </c>
      <c r="B15" s="2">
        <f>4878+523+4669-35.58</f>
        <v>10034.42</v>
      </c>
      <c r="C15" s="2">
        <f>749+75+704-3.43</f>
        <v>1524.57</v>
      </c>
      <c r="D15" s="3">
        <f>711+33+475</f>
        <v>1219</v>
      </c>
      <c r="E15" s="61">
        <v>17.350000000000001</v>
      </c>
      <c r="F15" s="61">
        <v>19.149999999999999</v>
      </c>
      <c r="G15" s="61">
        <v>18.350000000000001</v>
      </c>
      <c r="H15" s="79">
        <v>14.607586</v>
      </c>
      <c r="I15" s="79">
        <v>16.082414</v>
      </c>
      <c r="J15" s="79">
        <v>15.529052</v>
      </c>
      <c r="K15" s="38">
        <f t="shared" ref="K15" si="50">B15*H15</f>
        <v>146578.65311012001</v>
      </c>
      <c r="L15" s="38">
        <f t="shared" ref="L15" si="51">C15*I15</f>
        <v>24518.765911979997</v>
      </c>
      <c r="M15" s="38">
        <f t="shared" ref="M15" si="52">D15*J15</f>
        <v>18929.914388000001</v>
      </c>
      <c r="N15" s="38">
        <v>172.42</v>
      </c>
      <c r="O15" s="38">
        <f t="shared" ref="O15" si="53">B15*0.4052</f>
        <v>4065.9469840000002</v>
      </c>
      <c r="P15" s="38">
        <f t="shared" ref="P15" si="54">C15*0.4944</f>
        <v>753.74740799999995</v>
      </c>
      <c r="Q15" s="38">
        <f t="shared" ref="Q15" si="55">D15*0.3363</f>
        <v>409.94970000000001</v>
      </c>
      <c r="R15" s="38">
        <f t="shared" ref="R15" si="56">O15+P15+Q15</f>
        <v>5229.6440920000005</v>
      </c>
      <c r="S15" s="38">
        <f t="shared" ref="S15" si="57">SUM(K15+L15+M15+N15)</f>
        <v>190199.75341010003</v>
      </c>
      <c r="T15" s="41">
        <f t="shared" si="30"/>
        <v>30431.960545616006</v>
      </c>
      <c r="U15" s="4"/>
    </row>
    <row r="16" spans="1:379" s="34" customFormat="1" ht="18" customHeight="1" thickBot="1" x14ac:dyDescent="0.3">
      <c r="A16" s="39">
        <v>43140</v>
      </c>
      <c r="B16" s="33">
        <f>6278+5754+818</f>
        <v>12850</v>
      </c>
      <c r="C16" s="33">
        <f>52+533+1252</f>
        <v>1837</v>
      </c>
      <c r="D16" s="35">
        <f>102+265+1</f>
        <v>368</v>
      </c>
      <c r="E16" s="61">
        <v>17.350000000000001</v>
      </c>
      <c r="F16" s="61">
        <v>19.149999999999999</v>
      </c>
      <c r="G16" s="61">
        <v>18.350000000000001</v>
      </c>
      <c r="H16" s="79">
        <v>14.607586</v>
      </c>
      <c r="I16" s="79">
        <v>16.082414</v>
      </c>
      <c r="J16" s="79">
        <v>15.529052</v>
      </c>
      <c r="K16" s="38">
        <f t="shared" ref="K16" si="58">B16*H16</f>
        <v>187707.48009999999</v>
      </c>
      <c r="L16" s="38">
        <f t="shared" ref="L16" si="59">C16*I16</f>
        <v>29543.394518000001</v>
      </c>
      <c r="M16" s="38">
        <f t="shared" ref="M16" si="60">D16*J16</f>
        <v>5714.6911360000004</v>
      </c>
      <c r="N16" s="38">
        <v>68.97</v>
      </c>
      <c r="O16" s="38">
        <f t="shared" ref="O16" si="61">B16*0.4052</f>
        <v>5206.82</v>
      </c>
      <c r="P16" s="38">
        <f t="shared" ref="P16" si="62">C16*0.4944</f>
        <v>908.21280000000002</v>
      </c>
      <c r="Q16" s="38">
        <f t="shared" ref="Q16" si="63">D16*0.3363</f>
        <v>123.75839999999999</v>
      </c>
      <c r="R16" s="38">
        <f t="shared" ref="R16" si="64">O16+P16+Q16</f>
        <v>6238.7911999999997</v>
      </c>
      <c r="S16" s="38">
        <f t="shared" ref="S16" si="65">SUM(K16+L16+M16+N16)</f>
        <v>223034.53575400001</v>
      </c>
      <c r="T16" s="41">
        <f t="shared" si="30"/>
        <v>35685.525720640006</v>
      </c>
    </row>
    <row r="17" spans="1:38" s="34" customFormat="1" ht="18" customHeight="1" thickBot="1" x14ac:dyDescent="0.3">
      <c r="A17" s="39">
        <v>43141</v>
      </c>
      <c r="B17" s="33">
        <f>5106+5471+1044</f>
        <v>11621</v>
      </c>
      <c r="C17" s="33">
        <f>83+831+919</f>
        <v>1833</v>
      </c>
      <c r="D17" s="35">
        <f>447+256+0</f>
        <v>703</v>
      </c>
      <c r="E17" s="61">
        <v>17.350000000000001</v>
      </c>
      <c r="F17" s="61">
        <v>19.149999999999999</v>
      </c>
      <c r="G17" s="61">
        <v>18.350000000000001</v>
      </c>
      <c r="H17" s="79">
        <v>14.607586</v>
      </c>
      <c r="I17" s="79">
        <v>16.082414</v>
      </c>
      <c r="J17" s="79">
        <v>15.529052</v>
      </c>
      <c r="K17" s="38">
        <f t="shared" ref="K17" si="66">B17*H17</f>
        <v>169754.756906</v>
      </c>
      <c r="L17" s="38">
        <f t="shared" ref="L17" si="67">C17*I17</f>
        <v>29479.064861999999</v>
      </c>
      <c r="M17" s="38">
        <f t="shared" ref="M17" si="68">D17*J17</f>
        <v>10916.923556</v>
      </c>
      <c r="N17" s="38">
        <v>258.62</v>
      </c>
      <c r="O17" s="38">
        <f t="shared" ref="O17" si="69">B17*0.4052</f>
        <v>4708.8292000000001</v>
      </c>
      <c r="P17" s="38">
        <f t="shared" ref="P17" si="70">C17*0.4944</f>
        <v>906.23519999999996</v>
      </c>
      <c r="Q17" s="38">
        <f t="shared" ref="Q17" si="71">D17*0.3363</f>
        <v>236.41889999999998</v>
      </c>
      <c r="R17" s="38">
        <f t="shared" ref="R17" si="72">O17+P17+Q17</f>
        <v>5851.4832999999999</v>
      </c>
      <c r="S17" s="38">
        <f t="shared" ref="S17" si="73">SUM(K17+L17+M17+N17)</f>
        <v>210409.36532399998</v>
      </c>
      <c r="T17" s="41">
        <f t="shared" si="30"/>
        <v>33665.498451840002</v>
      </c>
    </row>
    <row r="18" spans="1:38" s="34" customFormat="1" ht="18" customHeight="1" thickBot="1" x14ac:dyDescent="0.3">
      <c r="A18" s="39">
        <v>43142</v>
      </c>
      <c r="B18" s="33">
        <f>653+5105+4606</f>
        <v>10364</v>
      </c>
      <c r="C18" s="33">
        <f>797+676+176</f>
        <v>1649</v>
      </c>
      <c r="D18" s="35">
        <f>0+233+113</f>
        <v>346</v>
      </c>
      <c r="E18" s="61">
        <v>17.350000000000001</v>
      </c>
      <c r="F18" s="61">
        <v>19.149999999999999</v>
      </c>
      <c r="G18" s="61">
        <v>18.350000000000001</v>
      </c>
      <c r="H18" s="79">
        <v>14.607586</v>
      </c>
      <c r="I18" s="79">
        <v>16.082414</v>
      </c>
      <c r="J18" s="79">
        <v>15.529052</v>
      </c>
      <c r="K18" s="38">
        <f t="shared" ref="K18" si="74">B18*H18</f>
        <v>151393.02130399999</v>
      </c>
      <c r="L18" s="38">
        <f t="shared" ref="L18" si="75">C18*I18</f>
        <v>26519.900686000001</v>
      </c>
      <c r="M18" s="38">
        <f t="shared" ref="M18" si="76">D18*J18</f>
        <v>5373.0519919999997</v>
      </c>
      <c r="N18" s="38">
        <v>745.69</v>
      </c>
      <c r="O18" s="38">
        <f t="shared" ref="O18" si="77">B18*0.4052</f>
        <v>4199.4928</v>
      </c>
      <c r="P18" s="38">
        <f t="shared" ref="P18" si="78">C18*0.4944</f>
        <v>815.26560000000006</v>
      </c>
      <c r="Q18" s="38">
        <f t="shared" ref="Q18" si="79">D18*0.3363</f>
        <v>116.35979999999999</v>
      </c>
      <c r="R18" s="38">
        <f t="shared" ref="R18" si="80">O18+P18+Q18</f>
        <v>5131.1181999999999</v>
      </c>
      <c r="S18" s="38">
        <f t="shared" ref="S18" si="81">SUM(K18+L18+M18+N18)</f>
        <v>184031.663982</v>
      </c>
      <c r="T18" s="41">
        <f t="shared" ref="T18" si="82">S18*16%</f>
        <v>29445.066237120001</v>
      </c>
      <c r="V18" s="36"/>
      <c r="W18" s="37"/>
      <c r="X18" s="37"/>
      <c r="Y18" s="37"/>
      <c r="Z18" s="37"/>
      <c r="AA18" s="37"/>
      <c r="AB18" s="37"/>
    </row>
    <row r="19" spans="1:38" s="34" customFormat="1" ht="18" customHeight="1" thickBot="1" x14ac:dyDescent="0.3">
      <c r="A19" s="39">
        <v>43143</v>
      </c>
      <c r="B19" s="33">
        <f>4257+5401+566-46</f>
        <v>10178</v>
      </c>
      <c r="C19" s="33">
        <f>607+882+92</f>
        <v>1581</v>
      </c>
      <c r="D19" s="35">
        <f>33+403+224</f>
        <v>660</v>
      </c>
      <c r="E19" s="61">
        <v>17.350000000000001</v>
      </c>
      <c r="F19" s="61">
        <v>19.149999999999999</v>
      </c>
      <c r="G19" s="61">
        <v>18.350000000000001</v>
      </c>
      <c r="H19" s="79">
        <v>14.607586</v>
      </c>
      <c r="I19" s="79">
        <v>16.082414</v>
      </c>
      <c r="J19" s="79">
        <v>15.529052</v>
      </c>
      <c r="K19" s="38">
        <f t="shared" ref="K19" si="83">B19*H19</f>
        <v>148676.010308</v>
      </c>
      <c r="L19" s="38">
        <f t="shared" ref="L19" si="84">C19*I19</f>
        <v>25426.296534000001</v>
      </c>
      <c r="M19" s="38">
        <f t="shared" ref="M19" si="85">D19*J19</f>
        <v>10249.17432</v>
      </c>
      <c r="N19" s="38">
        <v>344.83</v>
      </c>
      <c r="O19" s="38">
        <f t="shared" ref="O19" si="86">B19*0.4052</f>
        <v>4124.1256000000003</v>
      </c>
      <c r="P19" s="38">
        <f t="shared" ref="P19" si="87">C19*0.4944</f>
        <v>781.64639999999997</v>
      </c>
      <c r="Q19" s="38">
        <f t="shared" ref="Q19" si="88">D19*0.3363</f>
        <v>221.958</v>
      </c>
      <c r="R19" s="38">
        <f t="shared" ref="R19" si="89">O19+P19+Q19</f>
        <v>5127.7299999999996</v>
      </c>
      <c r="S19" s="38">
        <f t="shared" ref="S19" si="90">SUM(K19+L19+M19+N19)</f>
        <v>184696.31116199997</v>
      </c>
      <c r="T19" s="41">
        <f t="shared" ref="T19" si="91">S19*16%</f>
        <v>29551.409785919997</v>
      </c>
      <c r="V19" s="36"/>
      <c r="W19" s="37"/>
      <c r="X19" s="37"/>
      <c r="Y19" s="37"/>
      <c r="Z19" s="37"/>
      <c r="AA19" s="37"/>
      <c r="AB19" s="37"/>
    </row>
    <row r="20" spans="1:38" s="34" customFormat="1" ht="18" customHeight="1" thickBot="1" x14ac:dyDescent="0.3">
      <c r="A20" s="39">
        <v>43144</v>
      </c>
      <c r="B20" s="33">
        <f>4311+4699+428-6</f>
        <v>9432</v>
      </c>
      <c r="C20" s="33">
        <f>76+527+819</f>
        <v>1422</v>
      </c>
      <c r="D20" s="35">
        <f>272+532+0</f>
        <v>804</v>
      </c>
      <c r="E20" s="61">
        <v>17.350000000000001</v>
      </c>
      <c r="F20" s="61">
        <v>19.149999999999999</v>
      </c>
      <c r="G20" s="61">
        <v>18.350000000000001</v>
      </c>
      <c r="H20" s="79">
        <v>14.607586</v>
      </c>
      <c r="I20" s="79">
        <v>16.082414</v>
      </c>
      <c r="J20" s="79">
        <v>15.529052</v>
      </c>
      <c r="K20" s="38">
        <f t="shared" ref="K20" si="92">B20*H20</f>
        <v>137778.75115199998</v>
      </c>
      <c r="L20" s="38">
        <f t="shared" ref="L20" si="93">C20*I20</f>
        <v>22869.192707999999</v>
      </c>
      <c r="M20" s="38">
        <f t="shared" ref="M20" si="94">D20*J20</f>
        <v>12485.357808000001</v>
      </c>
      <c r="N20" s="38">
        <v>400.87</v>
      </c>
      <c r="O20" s="38">
        <f t="shared" ref="O20" si="95">B20*0.4052</f>
        <v>3821.8463999999999</v>
      </c>
      <c r="P20" s="38">
        <f t="shared" ref="P20" si="96">C20*0.4944</f>
        <v>703.03679999999997</v>
      </c>
      <c r="Q20" s="38">
        <f t="shared" ref="Q20" si="97">D20*0.3363</f>
        <v>270.3852</v>
      </c>
      <c r="R20" s="38">
        <f t="shared" ref="R20" si="98">O20+P20+Q20</f>
        <v>4795.2683999999999</v>
      </c>
      <c r="S20" s="38">
        <f t="shared" ref="S20" si="99">SUM(K20+L20+M20+N20)</f>
        <v>173534.17166799997</v>
      </c>
      <c r="T20" s="41">
        <f t="shared" ref="T20" si="100">S20*16%</f>
        <v>27765.467466879996</v>
      </c>
      <c r="V20" s="36"/>
      <c r="W20" s="37"/>
      <c r="X20" s="37"/>
      <c r="Y20" s="37"/>
      <c r="Z20" s="37"/>
      <c r="AA20" s="37"/>
      <c r="AB20" s="37"/>
    </row>
    <row r="21" spans="1:38" s="34" customFormat="1" ht="18" customHeight="1" thickBot="1" x14ac:dyDescent="0.3">
      <c r="A21" s="39">
        <v>43145</v>
      </c>
      <c r="B21" s="33">
        <f>4129.3+4157.86+432</f>
        <v>8719.16</v>
      </c>
      <c r="C21" s="33">
        <f>36+668+562</f>
        <v>1266</v>
      </c>
      <c r="D21" s="35">
        <f>407+276+11</f>
        <v>694</v>
      </c>
      <c r="E21" s="61">
        <v>17.350000000000001</v>
      </c>
      <c r="F21" s="61">
        <v>19.149999999999999</v>
      </c>
      <c r="G21" s="61">
        <v>18.350000000000001</v>
      </c>
      <c r="H21" s="79">
        <v>14.607586</v>
      </c>
      <c r="I21" s="79">
        <v>16.082414</v>
      </c>
      <c r="J21" s="79">
        <v>15.529052</v>
      </c>
      <c r="K21" s="38">
        <f t="shared" ref="K21" si="101">B21*H21</f>
        <v>127365.87954775999</v>
      </c>
      <c r="L21" s="38">
        <f t="shared" ref="L21" si="102">C21*I21</f>
        <v>20360.336124000001</v>
      </c>
      <c r="M21" s="38">
        <f t="shared" ref="M21" si="103">D21*J21</f>
        <v>10777.162088000001</v>
      </c>
      <c r="N21" s="38">
        <f>86.21+172.41</f>
        <v>258.62</v>
      </c>
      <c r="O21" s="38">
        <f t="shared" ref="O21" si="104">B21*0.4052</f>
        <v>3533.0036319999999</v>
      </c>
      <c r="P21" s="38">
        <f t="shared" ref="P21" si="105">C21*0.4944</f>
        <v>625.91039999999998</v>
      </c>
      <c r="Q21" s="38">
        <f t="shared" ref="Q21" si="106">D21*0.3363</f>
        <v>233.3922</v>
      </c>
      <c r="R21" s="38">
        <f t="shared" ref="R21" si="107">O21+P21+Q21</f>
        <v>4392.3062319999999</v>
      </c>
      <c r="S21" s="38">
        <f t="shared" ref="S21" si="108">SUM(K21+L21+M21+N21)</f>
        <v>158761.99775976001</v>
      </c>
      <c r="T21" s="41">
        <f t="shared" ref="T21" si="109">S21*16%</f>
        <v>25401.919641561602</v>
      </c>
      <c r="V21" s="36"/>
      <c r="W21" s="37"/>
      <c r="X21" s="37"/>
      <c r="Y21" s="37"/>
      <c r="Z21" s="37"/>
      <c r="AA21" s="37"/>
      <c r="AB21" s="37"/>
    </row>
    <row r="22" spans="1:38" s="34" customFormat="1" ht="18" customHeight="1" thickBot="1" x14ac:dyDescent="0.3">
      <c r="A22" s="39">
        <v>43146</v>
      </c>
      <c r="B22" s="33">
        <f>5430+4932+413</f>
        <v>10775</v>
      </c>
      <c r="C22" s="33">
        <f>16+783+691</f>
        <v>1490</v>
      </c>
      <c r="D22" s="35">
        <f>1037+202+0</f>
        <v>1239</v>
      </c>
      <c r="E22" s="61">
        <v>17.350000000000001</v>
      </c>
      <c r="F22" s="61">
        <v>19.149999999999999</v>
      </c>
      <c r="G22" s="61">
        <v>18.350000000000001</v>
      </c>
      <c r="H22" s="79">
        <v>14.607586</v>
      </c>
      <c r="I22" s="79">
        <v>16.082414</v>
      </c>
      <c r="J22" s="79">
        <v>15.529052</v>
      </c>
      <c r="K22" s="38">
        <f t="shared" ref="K22" si="110">B22*H22</f>
        <v>157396.73915000001</v>
      </c>
      <c r="L22" s="38">
        <f t="shared" ref="L22" si="111">C22*I22</f>
        <v>23962.796859999999</v>
      </c>
      <c r="M22" s="38">
        <f t="shared" ref="M22" si="112">D22*J22</f>
        <v>19240.495427999998</v>
      </c>
      <c r="N22" s="38">
        <v>0</v>
      </c>
      <c r="O22" s="38">
        <f t="shared" ref="O22" si="113">B22*0.4052</f>
        <v>4366.03</v>
      </c>
      <c r="P22" s="38">
        <f t="shared" ref="P22" si="114">C22*0.4944</f>
        <v>736.65600000000006</v>
      </c>
      <c r="Q22" s="38">
        <f t="shared" ref="Q22" si="115">D22*0.3363</f>
        <v>416.67570000000001</v>
      </c>
      <c r="R22" s="38">
        <f t="shared" ref="R22" si="116">O22+P22+Q22</f>
        <v>5519.3616999999995</v>
      </c>
      <c r="S22" s="38">
        <f t="shared" ref="S22" si="117">SUM(K22+L22+M22+N22)</f>
        <v>200600.03143800001</v>
      </c>
      <c r="T22" s="41">
        <f t="shared" ref="T22" si="118">S22*16%</f>
        <v>32096.005030080003</v>
      </c>
      <c r="V22" s="36"/>
      <c r="W22" s="37"/>
      <c r="X22" s="37"/>
      <c r="Y22" s="37"/>
      <c r="Z22" s="37"/>
      <c r="AA22" s="37"/>
      <c r="AB22" s="37"/>
    </row>
    <row r="23" spans="1:38" s="34" customFormat="1" ht="18" customHeight="1" thickBot="1" x14ac:dyDescent="0.3">
      <c r="A23" s="39">
        <v>43147</v>
      </c>
      <c r="B23" s="33">
        <f>5859+577+6734</f>
        <v>13170</v>
      </c>
      <c r="C23" s="33">
        <f>1048+68+820</f>
        <v>1936</v>
      </c>
      <c r="D23" s="35">
        <f>654+64+268</f>
        <v>986</v>
      </c>
      <c r="E23" s="61">
        <v>17.350000000000001</v>
      </c>
      <c r="F23" s="61">
        <v>19.149999999999999</v>
      </c>
      <c r="G23" s="61">
        <v>18.350000000000001</v>
      </c>
      <c r="H23" s="79">
        <v>14.607586</v>
      </c>
      <c r="I23" s="79">
        <v>16.082414</v>
      </c>
      <c r="J23" s="79">
        <v>15.529052</v>
      </c>
      <c r="K23" s="38">
        <f t="shared" ref="K23" si="119">B23*H23</f>
        <v>192381.90761999998</v>
      </c>
      <c r="L23" s="38">
        <f t="shared" ref="L23" si="120">C23*I23</f>
        <v>31135.553504</v>
      </c>
      <c r="M23" s="38">
        <f t="shared" ref="M23" si="121">D23*J23</f>
        <v>15311.645272</v>
      </c>
      <c r="N23" s="38">
        <v>0</v>
      </c>
      <c r="O23" s="38">
        <f t="shared" ref="O23" si="122">B23*0.4052</f>
        <v>5336.4840000000004</v>
      </c>
      <c r="P23" s="38">
        <f t="shared" ref="P23" si="123">C23*0.4944</f>
        <v>957.15840000000003</v>
      </c>
      <c r="Q23" s="38">
        <f t="shared" ref="Q23" si="124">D23*0.3363</f>
        <v>331.59179999999998</v>
      </c>
      <c r="R23" s="38">
        <f t="shared" ref="R23" si="125">O23+P23+Q23</f>
        <v>6625.2342000000008</v>
      </c>
      <c r="S23" s="38">
        <f t="shared" ref="S23" si="126">SUM(K23+L23+M23+N23)</f>
        <v>238829.10639599999</v>
      </c>
      <c r="T23" s="41">
        <f t="shared" ref="T23" si="127">S23*16%</f>
        <v>38212.65702336</v>
      </c>
      <c r="V23" s="36"/>
      <c r="W23" s="37"/>
      <c r="X23" s="37"/>
      <c r="Y23" s="37"/>
      <c r="Z23" s="37"/>
      <c r="AA23" s="37"/>
      <c r="AB23" s="37"/>
    </row>
    <row r="24" spans="1:38" s="34" customFormat="1" ht="18" customHeight="1" thickBot="1" x14ac:dyDescent="0.3">
      <c r="A24" s="39">
        <v>43148</v>
      </c>
      <c r="B24" s="33">
        <f>703+3934</f>
        <v>4637</v>
      </c>
      <c r="C24" s="33">
        <f>824+49</f>
        <v>873</v>
      </c>
      <c r="D24" s="33">
        <v>419</v>
      </c>
      <c r="E24" s="61">
        <v>17.350000000000001</v>
      </c>
      <c r="F24" s="61">
        <v>19.149999999999999</v>
      </c>
      <c r="G24" s="61">
        <v>18.350000000000001</v>
      </c>
      <c r="H24" s="79">
        <v>14.607586</v>
      </c>
      <c r="I24" s="79">
        <v>16.082414</v>
      </c>
      <c r="J24" s="79">
        <v>15.529052</v>
      </c>
      <c r="K24" s="38">
        <f t="shared" ref="K24" si="128">B24*H24</f>
        <v>67735.376281999997</v>
      </c>
      <c r="L24" s="38">
        <f t="shared" ref="L24" si="129">C24*I24</f>
        <v>14039.947421999999</v>
      </c>
      <c r="M24" s="38">
        <f t="shared" ref="M24" si="130">D24*J24</f>
        <v>6506.6727879999999</v>
      </c>
      <c r="N24" s="38">
        <v>0</v>
      </c>
      <c r="O24" s="38">
        <f t="shared" ref="O24" si="131">B24*0.4052</f>
        <v>1878.9123999999999</v>
      </c>
      <c r="P24" s="38">
        <f t="shared" ref="P24" si="132">C24*0.4944</f>
        <v>431.6112</v>
      </c>
      <c r="Q24" s="38">
        <f t="shared" ref="Q24" si="133">D24*0.3363</f>
        <v>140.90969999999999</v>
      </c>
      <c r="R24" s="38">
        <f t="shared" ref="R24" si="134">O24+P24+Q24</f>
        <v>2451.4333000000001</v>
      </c>
      <c r="S24" s="38">
        <f t="shared" ref="S24" si="135">SUM(K24+L24+M24+N24)</f>
        <v>88281.996491999991</v>
      </c>
      <c r="T24" s="41">
        <f t="shared" ref="T24" si="136">S24*16%</f>
        <v>14125.119438719999</v>
      </c>
      <c r="V24" s="37"/>
    </row>
    <row r="25" spans="1:38" s="34" customFormat="1" ht="18" customHeight="1" thickBot="1" x14ac:dyDescent="0.3">
      <c r="A25" s="39">
        <v>43148</v>
      </c>
      <c r="B25" s="33">
        <f>4809+1986-28</f>
        <v>6767</v>
      </c>
      <c r="C25" s="33">
        <f>1018+318</f>
        <v>1336</v>
      </c>
      <c r="D25" s="33">
        <f>160+221</f>
        <v>381</v>
      </c>
      <c r="E25" s="67">
        <v>17.39</v>
      </c>
      <c r="F25" s="67">
        <v>19.190000000000001</v>
      </c>
      <c r="G25" s="67">
        <v>18.39</v>
      </c>
      <c r="H25" s="78">
        <v>14.642068999999999</v>
      </c>
      <c r="I25" s="78">
        <v>16.116897000000002</v>
      </c>
      <c r="J25" s="78">
        <v>15.563534000000001</v>
      </c>
      <c r="K25" s="38">
        <f t="shared" ref="K25" si="137">B25*H25</f>
        <v>99082.88092299999</v>
      </c>
      <c r="L25" s="38">
        <f t="shared" ref="L25" si="138">C25*I25</f>
        <v>21532.174392000001</v>
      </c>
      <c r="M25" s="38">
        <f t="shared" ref="M25" si="139">D25*J25</f>
        <v>5929.7064540000001</v>
      </c>
      <c r="N25" s="38">
        <v>172.5</v>
      </c>
      <c r="O25" s="38">
        <f t="shared" ref="O25" si="140">B25*0.4052</f>
        <v>2741.9884000000002</v>
      </c>
      <c r="P25" s="38">
        <f t="shared" ref="P25" si="141">C25*0.4944</f>
        <v>660.51840000000004</v>
      </c>
      <c r="Q25" s="38">
        <f t="shared" ref="Q25" si="142">D25*0.3363</f>
        <v>128.13030000000001</v>
      </c>
      <c r="R25" s="38">
        <f t="shared" ref="R25" si="143">O25+P25+Q25</f>
        <v>3530.6370999999999</v>
      </c>
      <c r="S25" s="38">
        <f t="shared" ref="S25" si="144">SUM(K25+L25+M25+N25)</f>
        <v>126717.26176899999</v>
      </c>
      <c r="T25" s="41">
        <f t="shared" ref="T25" si="145">S25*16%</f>
        <v>20274.761883039999</v>
      </c>
      <c r="V25" s="37"/>
    </row>
    <row r="26" spans="1:38" s="34" customFormat="1" ht="18" customHeight="1" thickBot="1" x14ac:dyDescent="0.3">
      <c r="A26" s="39">
        <v>43149</v>
      </c>
      <c r="B26" s="33">
        <f>5202+5003+843-6</f>
        <v>11042</v>
      </c>
      <c r="C26" s="33">
        <f>89+984+807</f>
        <v>1880</v>
      </c>
      <c r="D26" s="33">
        <f>307+150+0</f>
        <v>457</v>
      </c>
      <c r="E26" s="61">
        <v>17.39</v>
      </c>
      <c r="F26" s="61">
        <v>19.190000000000001</v>
      </c>
      <c r="G26" s="61">
        <v>18.39</v>
      </c>
      <c r="H26" s="79">
        <v>14.642068999999999</v>
      </c>
      <c r="I26" s="79">
        <v>16.116897000000002</v>
      </c>
      <c r="J26" s="79">
        <v>15.563534000000001</v>
      </c>
      <c r="K26" s="38">
        <f t="shared" ref="K26" si="146">B26*H26</f>
        <v>161677.725898</v>
      </c>
      <c r="L26" s="38">
        <f t="shared" ref="L26" si="147">C26*I26</f>
        <v>30299.766360000001</v>
      </c>
      <c r="M26" s="38">
        <f t="shared" ref="M26" si="148">D26*J26</f>
        <v>7112.535038</v>
      </c>
      <c r="N26" s="38"/>
      <c r="O26" s="38">
        <f t="shared" ref="O26" si="149">B26*0.4052</f>
        <v>4474.2183999999997</v>
      </c>
      <c r="P26" s="38">
        <f t="shared" ref="P26" si="150">C26*0.4944</f>
        <v>929.47199999999998</v>
      </c>
      <c r="Q26" s="38">
        <f t="shared" ref="Q26" si="151">D26*0.3363</f>
        <v>153.6891</v>
      </c>
      <c r="R26" s="38">
        <f t="shared" ref="R26" si="152">O26+P26+Q26</f>
        <v>5557.3794999999991</v>
      </c>
      <c r="S26" s="38">
        <f t="shared" ref="S26" si="153">SUM(K26+L26+M26+N26)</f>
        <v>199090.02729600001</v>
      </c>
      <c r="T26" s="41">
        <f t="shared" ref="T26" si="154">S26*16%</f>
        <v>31854.404367360003</v>
      </c>
      <c r="V26" s="37"/>
    </row>
    <row r="27" spans="1:38" s="34" customFormat="1" ht="18" customHeight="1" thickBot="1" x14ac:dyDescent="0.3">
      <c r="A27" s="39">
        <v>43150</v>
      </c>
      <c r="B27" s="33">
        <f>5159+896+5883</f>
        <v>11938</v>
      </c>
      <c r="C27" s="33">
        <f>889+86+894</f>
        <v>1869</v>
      </c>
      <c r="D27" s="33">
        <f>671+0+542</f>
        <v>1213</v>
      </c>
      <c r="E27" s="61">
        <v>17.39</v>
      </c>
      <c r="F27" s="61">
        <v>19.190000000000001</v>
      </c>
      <c r="G27" s="61">
        <v>18.39</v>
      </c>
      <c r="H27" s="79">
        <v>14.642068999999999</v>
      </c>
      <c r="I27" s="79">
        <v>16.116897000000002</v>
      </c>
      <c r="J27" s="79">
        <v>15.563534000000001</v>
      </c>
      <c r="K27" s="38">
        <f t="shared" ref="K27" si="155">B27*H27</f>
        <v>174797.019722</v>
      </c>
      <c r="L27" s="38">
        <f t="shared" ref="L27" si="156">C27*I27</f>
        <v>30122.480493000003</v>
      </c>
      <c r="M27" s="38">
        <f t="shared" ref="M27" si="157">D27*J27</f>
        <v>18878.566741999999</v>
      </c>
      <c r="N27" s="38">
        <v>172.5</v>
      </c>
      <c r="O27" s="38">
        <f t="shared" ref="O27" si="158">B27*0.4052</f>
        <v>4837.2776000000003</v>
      </c>
      <c r="P27" s="38">
        <f t="shared" ref="P27" si="159">C27*0.4944</f>
        <v>924.03359999999998</v>
      </c>
      <c r="Q27" s="38">
        <f t="shared" ref="Q27" si="160">D27*0.3363</f>
        <v>407.93189999999998</v>
      </c>
      <c r="R27" s="38">
        <f t="shared" ref="R27" si="161">O27+P27+Q27</f>
        <v>6169.2430999999997</v>
      </c>
      <c r="S27" s="38">
        <f t="shared" ref="S27" si="162">SUM(K27+L27+M27+N27)</f>
        <v>223970.566957</v>
      </c>
      <c r="T27" s="41">
        <f t="shared" ref="T27" si="163">S27*16%</f>
        <v>35835.290713120005</v>
      </c>
    </row>
    <row r="28" spans="1:38" s="44" customFormat="1" ht="18" customHeight="1" thickBot="1" x14ac:dyDescent="0.3">
      <c r="A28" s="39">
        <v>43151</v>
      </c>
      <c r="B28" s="33">
        <v>732</v>
      </c>
      <c r="C28" s="33">
        <v>254</v>
      </c>
      <c r="D28" s="33">
        <v>0</v>
      </c>
      <c r="E28" s="61">
        <v>17.39</v>
      </c>
      <c r="F28" s="61">
        <v>19.190000000000001</v>
      </c>
      <c r="G28" s="61">
        <v>18.39</v>
      </c>
      <c r="H28" s="79">
        <v>14.642068999999999</v>
      </c>
      <c r="I28" s="79">
        <v>16.116897000000002</v>
      </c>
      <c r="J28" s="79">
        <v>15.563534000000001</v>
      </c>
      <c r="K28" s="38">
        <f t="shared" ref="K28:K29" si="164">B28*H28</f>
        <v>10717.994508</v>
      </c>
      <c r="L28" s="38">
        <f t="shared" ref="L28:L29" si="165">C28*I28</f>
        <v>4093.6918380000002</v>
      </c>
      <c r="M28" s="38">
        <f t="shared" ref="M28" si="166">D28*J28</f>
        <v>0</v>
      </c>
      <c r="N28" s="38">
        <v>0</v>
      </c>
      <c r="O28" s="38">
        <f t="shared" ref="O28" si="167">B28*0.4052</f>
        <v>296.60640000000001</v>
      </c>
      <c r="P28" s="38">
        <f t="shared" ref="P28" si="168">C28*0.4944</f>
        <v>125.5776</v>
      </c>
      <c r="Q28" s="38">
        <f t="shared" ref="Q28" si="169">D28*0.3363</f>
        <v>0</v>
      </c>
      <c r="R28" s="38">
        <f t="shared" ref="R28" si="170">O28+P28+Q28</f>
        <v>422.18400000000003</v>
      </c>
      <c r="S28" s="38">
        <f t="shared" ref="S28" si="171">SUM(K28+L28+M28+N28)</f>
        <v>14811.686346</v>
      </c>
      <c r="T28" s="41">
        <f t="shared" ref="T28" si="172">S28*16%</f>
        <v>2369.8698153600003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s="44" customFormat="1" ht="18" customHeight="1" thickBot="1" x14ac:dyDescent="0.3">
      <c r="A29" s="39">
        <v>43151</v>
      </c>
      <c r="B29" s="33">
        <f>5026+4682</f>
        <v>9708</v>
      </c>
      <c r="C29" s="33">
        <f>541+768</f>
        <v>1309</v>
      </c>
      <c r="D29" s="33">
        <f>719+159</f>
        <v>878</v>
      </c>
      <c r="E29" s="61">
        <v>17.43</v>
      </c>
      <c r="F29" s="61">
        <v>19.21</v>
      </c>
      <c r="G29" s="61">
        <v>18.39</v>
      </c>
      <c r="H29" s="79">
        <v>14.676551999999999</v>
      </c>
      <c r="I29" s="79">
        <v>16.134138</v>
      </c>
      <c r="J29" s="79">
        <v>15.563534000000001</v>
      </c>
      <c r="K29" s="45">
        <f t="shared" si="164"/>
        <v>142479.966816</v>
      </c>
      <c r="L29" s="45">
        <f t="shared" si="165"/>
        <v>21119.586641999998</v>
      </c>
      <c r="M29" s="38">
        <f t="shared" ref="M29" si="173">D29*J29</f>
        <v>13664.782852</v>
      </c>
      <c r="N29" s="38">
        <v>0</v>
      </c>
      <c r="O29" s="38">
        <f t="shared" ref="O29" si="174">B29*0.4052</f>
        <v>3933.6815999999999</v>
      </c>
      <c r="P29" s="38">
        <f t="shared" ref="P29" si="175">C29*0.4944</f>
        <v>647.16960000000006</v>
      </c>
      <c r="Q29" s="38">
        <f t="shared" ref="Q29" si="176">D29*0.3363</f>
        <v>295.27139999999997</v>
      </c>
      <c r="R29" s="38">
        <f t="shared" ref="R29" si="177">O29+P29+Q29</f>
        <v>4876.1225999999997</v>
      </c>
      <c r="S29" s="38">
        <f t="shared" ref="S29" si="178">SUM(K29+L29+M29+N29)</f>
        <v>177264.33631000001</v>
      </c>
      <c r="T29" s="41">
        <f t="shared" ref="T29" si="179">S29*16%</f>
        <v>28362.293809600003</v>
      </c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s="44" customFormat="1" ht="18" customHeight="1" thickBot="1" x14ac:dyDescent="0.3">
      <c r="A30" s="46">
        <v>43152</v>
      </c>
      <c r="B30" s="47">
        <v>5194.6000000000004</v>
      </c>
      <c r="C30" s="47">
        <v>686</v>
      </c>
      <c r="D30" s="47">
        <v>492</v>
      </c>
      <c r="E30" s="69">
        <v>17.39</v>
      </c>
      <c r="F30" s="69">
        <v>19.190000000000001</v>
      </c>
      <c r="G30" s="69">
        <v>18.39</v>
      </c>
      <c r="H30" s="80">
        <v>14.642068999999999</v>
      </c>
      <c r="I30" s="80">
        <v>16.116897000000002</v>
      </c>
      <c r="J30" s="80">
        <v>15.563534000000001</v>
      </c>
      <c r="K30" s="48">
        <f>B30*H30</f>
        <v>76059.691627399996</v>
      </c>
      <c r="L30" s="48">
        <f>C30*I30</f>
        <v>11056.191342000002</v>
      </c>
      <c r="M30" s="49">
        <f t="shared" ref="M30" si="180">D30*J30</f>
        <v>7657.2587280000007</v>
      </c>
      <c r="N30" s="49">
        <v>0</v>
      </c>
      <c r="O30" s="49">
        <f t="shared" ref="O30" si="181">B30*0.4052</f>
        <v>2104.8519200000001</v>
      </c>
      <c r="P30" s="49">
        <f t="shared" ref="P30" si="182">C30*0.4944</f>
        <v>339.15840000000003</v>
      </c>
      <c r="Q30" s="49">
        <f t="shared" ref="Q30" si="183">D30*0.3363</f>
        <v>165.45959999999999</v>
      </c>
      <c r="R30" s="49">
        <f t="shared" ref="R30" si="184">O30+P30+Q30</f>
        <v>2609.4699200000005</v>
      </c>
      <c r="S30" s="49">
        <f t="shared" ref="S30" si="185">SUM(K30+L30+M30+N30)</f>
        <v>94773.141697400002</v>
      </c>
      <c r="T30" s="50">
        <f t="shared" ref="T30" si="186">S30*16%</f>
        <v>15163.702671584</v>
      </c>
      <c r="U30" s="37"/>
      <c r="V30" s="37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s="34" customFormat="1" ht="18" customHeight="1" thickBot="1" x14ac:dyDescent="0.3">
      <c r="A31" s="46">
        <v>43152</v>
      </c>
      <c r="B31" s="47">
        <f>597+4340</f>
        <v>4937</v>
      </c>
      <c r="C31" s="47">
        <f>462+55</f>
        <v>517</v>
      </c>
      <c r="D31" s="51">
        <f>0+215</f>
        <v>215</v>
      </c>
      <c r="E31" s="70">
        <v>17.43</v>
      </c>
      <c r="F31" s="71">
        <v>19.21</v>
      </c>
      <c r="G31" s="71">
        <v>18.39</v>
      </c>
      <c r="H31" s="81">
        <v>14.676551999999999</v>
      </c>
      <c r="I31" s="81">
        <v>16.134138</v>
      </c>
      <c r="J31" s="81">
        <v>15.563534000000001</v>
      </c>
      <c r="K31" s="48">
        <f t="shared" ref="K31" si="187">B31*H31</f>
        <v>72458.137223999991</v>
      </c>
      <c r="L31" s="48">
        <f t="shared" ref="L31" si="188">C31*I31</f>
        <v>8341.3493460000009</v>
      </c>
      <c r="M31" s="49">
        <f t="shared" ref="M31" si="189">D31*J31</f>
        <v>3346.1598100000001</v>
      </c>
      <c r="N31" s="49">
        <v>86.2</v>
      </c>
      <c r="O31" s="49">
        <f t="shared" ref="O31" si="190">B31*0.4052</f>
        <v>2000.4724000000001</v>
      </c>
      <c r="P31" s="49">
        <f t="shared" ref="P31" si="191">C31*0.4944</f>
        <v>255.60480000000001</v>
      </c>
      <c r="Q31" s="49">
        <f t="shared" ref="Q31" si="192">D31*0.3363</f>
        <v>72.304500000000004</v>
      </c>
      <c r="R31" s="49">
        <f t="shared" ref="R31" si="193">O31+P31+Q31</f>
        <v>2328.3817000000004</v>
      </c>
      <c r="S31" s="49">
        <f t="shared" ref="S31" si="194">SUM(K31+L31+M31+N31)</f>
        <v>84231.846379999988</v>
      </c>
      <c r="T31" s="50">
        <f t="shared" ref="T31" si="195">S31*16%</f>
        <v>13477.095420799998</v>
      </c>
      <c r="U31" s="37"/>
    </row>
    <row r="32" spans="1:38" s="34" customFormat="1" ht="18" customHeight="1" thickBot="1" x14ac:dyDescent="0.3">
      <c r="A32" s="39">
        <v>43153</v>
      </c>
      <c r="B32" s="33">
        <f>5424+4701.8+351.6</f>
        <v>10477.4</v>
      </c>
      <c r="C32" s="33">
        <f>588.5+543.58+29.78</f>
        <v>1161.8599999999999</v>
      </c>
      <c r="D32" s="33">
        <f>1240+242.4</f>
        <v>1482.4</v>
      </c>
      <c r="E32" s="63">
        <v>17.43</v>
      </c>
      <c r="F32" s="64">
        <v>19.21</v>
      </c>
      <c r="G32" s="64">
        <v>18.39</v>
      </c>
      <c r="H32" s="74">
        <v>14.676551999999999</v>
      </c>
      <c r="I32" s="74">
        <v>16.134138</v>
      </c>
      <c r="J32" s="74">
        <v>15.563534000000001</v>
      </c>
      <c r="K32" s="45">
        <f t="shared" ref="K32" si="196">B32*H32</f>
        <v>153772.10592479998</v>
      </c>
      <c r="L32" s="45">
        <f t="shared" ref="L32" si="197">C32*I32</f>
        <v>18745.609576679999</v>
      </c>
      <c r="M32" s="38">
        <f t="shared" ref="M32" si="198">D32*J32</f>
        <v>23071.382801600001</v>
      </c>
      <c r="N32" s="38">
        <v>258.7</v>
      </c>
      <c r="O32" s="38">
        <f t="shared" ref="O32" si="199">B32*0.4052</f>
        <v>4245.4424799999997</v>
      </c>
      <c r="P32" s="38">
        <f t="shared" ref="P32" si="200">C32*0.4944</f>
        <v>574.42358400000001</v>
      </c>
      <c r="Q32" s="38">
        <f t="shared" ref="Q32" si="201">D32*0.3363</f>
        <v>498.53111999999999</v>
      </c>
      <c r="R32" s="38">
        <f t="shared" ref="R32" si="202">O32+P32+Q32</f>
        <v>5318.3971839999995</v>
      </c>
      <c r="S32" s="38">
        <f t="shared" ref="S32" si="203">SUM(K32+L32+M32+N32)</f>
        <v>195847.79830308</v>
      </c>
      <c r="T32" s="41">
        <f t="shared" ref="T32" si="204">S32*16%</f>
        <v>31335.647728492801</v>
      </c>
      <c r="U32" s="37"/>
    </row>
    <row r="33" spans="1:241" s="34" customFormat="1" ht="18" customHeight="1" thickBot="1" x14ac:dyDescent="0.3">
      <c r="A33" s="46">
        <v>43154</v>
      </c>
      <c r="B33" s="33">
        <f>548+5110.97</f>
        <v>5658.97</v>
      </c>
      <c r="C33" s="33">
        <f>374.89+120</f>
        <v>494.89</v>
      </c>
      <c r="D33" s="33">
        <v>110.57</v>
      </c>
      <c r="E33" s="63">
        <v>17.43</v>
      </c>
      <c r="F33" s="64">
        <v>19.21</v>
      </c>
      <c r="G33" s="64">
        <v>18.39</v>
      </c>
      <c r="H33" s="74">
        <v>14.676551999999999</v>
      </c>
      <c r="I33" s="74">
        <v>16.134138</v>
      </c>
      <c r="J33" s="74">
        <v>15.563534000000001</v>
      </c>
      <c r="K33" s="45">
        <f t="shared" ref="K33:K34" si="205">B33*H33</f>
        <v>83054.16747144</v>
      </c>
      <c r="L33" s="45">
        <f t="shared" ref="L33:L34" si="206">C33*I33</f>
        <v>7984.6235548200002</v>
      </c>
      <c r="M33" s="38">
        <f t="shared" ref="M33:M34" si="207">D33*J33</f>
        <v>1720.8599543799999</v>
      </c>
      <c r="N33" s="38">
        <v>0</v>
      </c>
      <c r="O33" s="38">
        <f t="shared" ref="O33" si="208">B33*0.4052</f>
        <v>2293.0146440000003</v>
      </c>
      <c r="P33" s="38">
        <f t="shared" ref="P33" si="209">C33*0.4944</f>
        <v>244.67361600000001</v>
      </c>
      <c r="Q33" s="38">
        <f t="shared" ref="Q33" si="210">D33*0.3363</f>
        <v>37.184690999999994</v>
      </c>
      <c r="R33" s="38">
        <f t="shared" ref="R33" si="211">O33+P33+Q33</f>
        <v>2574.8729510000003</v>
      </c>
      <c r="S33" s="38">
        <f t="shared" ref="S33" si="212">SUM(K33+L33+M33+N33)</f>
        <v>92759.650980639999</v>
      </c>
      <c r="T33" s="41">
        <f t="shared" ref="T33" si="213">S33*16%</f>
        <v>14841.544156902401</v>
      </c>
      <c r="U33" s="37"/>
    </row>
    <row r="34" spans="1:241" s="34" customFormat="1" ht="18" customHeight="1" thickBot="1" x14ac:dyDescent="0.3">
      <c r="A34" s="46">
        <v>43154</v>
      </c>
      <c r="B34" s="33">
        <f>6757.26+734.95</f>
        <v>7492.21</v>
      </c>
      <c r="C34" s="33">
        <f>165.86+1014.4</f>
        <v>1180.26</v>
      </c>
      <c r="D34" s="33">
        <f>817.39+50</f>
        <v>867.39</v>
      </c>
      <c r="E34" s="72">
        <v>17.43</v>
      </c>
      <c r="F34" s="73">
        <v>19.21</v>
      </c>
      <c r="G34" s="73">
        <v>18.41</v>
      </c>
      <c r="H34" s="82">
        <v>14.676551999999999</v>
      </c>
      <c r="I34" s="82">
        <v>16.134138</v>
      </c>
      <c r="J34" s="82">
        <v>15.580776</v>
      </c>
      <c r="K34" s="45">
        <f t="shared" si="205"/>
        <v>109959.80965991999</v>
      </c>
      <c r="L34" s="45">
        <f t="shared" si="206"/>
        <v>19042.477715879999</v>
      </c>
      <c r="M34" s="45">
        <f t="shared" si="207"/>
        <v>13514.60929464</v>
      </c>
      <c r="N34" s="38">
        <v>86.2</v>
      </c>
      <c r="O34" s="38">
        <f t="shared" ref="O34" si="214">B34*0.4052</f>
        <v>3035.843492</v>
      </c>
      <c r="P34" s="38">
        <f t="shared" ref="P34" si="215">C34*0.4944</f>
        <v>583.52054399999997</v>
      </c>
      <c r="Q34" s="38">
        <f t="shared" ref="Q34" si="216">D34*0.3363</f>
        <v>291.70325700000001</v>
      </c>
      <c r="R34" s="38">
        <f t="shared" ref="R34" si="217">O34+P34+Q34</f>
        <v>3911.0672930000001</v>
      </c>
      <c r="S34" s="38">
        <f t="shared" ref="S34" si="218">SUM(K34+L34+M34+N34)</f>
        <v>142603.09667043999</v>
      </c>
      <c r="T34" s="41">
        <f t="shared" ref="T34" si="219">S34*16%</f>
        <v>22816.495467270401</v>
      </c>
      <c r="U34" s="37"/>
    </row>
    <row r="35" spans="1:241" s="34" customFormat="1" ht="18" customHeight="1" thickBot="1" x14ac:dyDescent="0.3">
      <c r="A35" s="27">
        <v>43155</v>
      </c>
      <c r="B35" s="33">
        <f>1250.33+6065.52+6287</f>
        <v>13602.85</v>
      </c>
      <c r="C35" s="33">
        <f>1013+117.15+911.58</f>
        <v>2041.73</v>
      </c>
      <c r="D35" s="33">
        <f>701.39+221</f>
        <v>922.39</v>
      </c>
      <c r="E35" s="61">
        <v>17.43</v>
      </c>
      <c r="F35" s="62">
        <v>19.21</v>
      </c>
      <c r="G35" s="62">
        <v>18.41</v>
      </c>
      <c r="H35" s="83">
        <v>14.676551999999999</v>
      </c>
      <c r="I35" s="83">
        <v>16.134138</v>
      </c>
      <c r="J35" s="83">
        <v>15.580776</v>
      </c>
      <c r="K35" s="45">
        <f t="shared" ref="K35" si="220">B35*H35</f>
        <v>199642.93537319999</v>
      </c>
      <c r="L35" s="45">
        <f t="shared" ref="L35" si="221">C35*I35</f>
        <v>32941.55357874</v>
      </c>
      <c r="M35" s="45">
        <f t="shared" ref="M35" si="222">D35*J35</f>
        <v>14371.55197464</v>
      </c>
      <c r="N35" s="38">
        <v>543.1</v>
      </c>
      <c r="O35" s="38">
        <f t="shared" ref="O35" si="223">B35*0.4052</f>
        <v>5511.87482</v>
      </c>
      <c r="P35" s="38">
        <f t="shared" ref="P35" si="224">C35*0.4944</f>
        <v>1009.431312</v>
      </c>
      <c r="Q35" s="38">
        <f t="shared" ref="Q35" si="225">D35*0.3363</f>
        <v>310.19975699999998</v>
      </c>
      <c r="R35" s="38">
        <f t="shared" ref="R35" si="226">O35+P35+Q35</f>
        <v>6831.505889</v>
      </c>
      <c r="S35" s="38">
        <f t="shared" ref="S35" si="227">SUM(K35+L35+M35+N35)</f>
        <v>247499.14092657997</v>
      </c>
      <c r="T35" s="41">
        <f t="shared" ref="T35" si="228">S35*16%</f>
        <v>39599.862548252793</v>
      </c>
      <c r="U35" s="37"/>
    </row>
    <row r="36" spans="1:241" s="5" customFormat="1" ht="18" customHeight="1" thickBot="1" x14ac:dyDescent="0.3">
      <c r="A36" s="27">
        <v>43156</v>
      </c>
      <c r="B36" s="33">
        <f>5094+4925+672</f>
        <v>10691</v>
      </c>
      <c r="C36" s="33">
        <f>46+847+742</f>
        <v>1635</v>
      </c>
      <c r="D36" s="33">
        <f>163+279+0</f>
        <v>442</v>
      </c>
      <c r="E36" s="61">
        <v>17.43</v>
      </c>
      <c r="F36" s="62">
        <v>19.21</v>
      </c>
      <c r="G36" s="62">
        <v>18.41</v>
      </c>
      <c r="H36" s="83">
        <v>14.676551999999999</v>
      </c>
      <c r="I36" s="83">
        <v>16.134138</v>
      </c>
      <c r="J36" s="83">
        <v>15.580776</v>
      </c>
      <c r="K36" s="45">
        <f t="shared" ref="K36" si="229">B36*H36</f>
        <v>156907.01743199999</v>
      </c>
      <c r="L36" s="45">
        <f t="shared" ref="L36" si="230">C36*I36</f>
        <v>26379.315630000001</v>
      </c>
      <c r="M36" s="45">
        <f t="shared" ref="M36" si="231">D36*J36</f>
        <v>6886.7029920000004</v>
      </c>
      <c r="N36" s="38">
        <v>241.4</v>
      </c>
      <c r="O36" s="38">
        <f t="shared" ref="O36" si="232">B36*0.4052</f>
        <v>4331.9931999999999</v>
      </c>
      <c r="P36" s="38">
        <f t="shared" ref="P36" si="233">C36*0.4944</f>
        <v>808.34400000000005</v>
      </c>
      <c r="Q36" s="38">
        <f t="shared" ref="Q36" si="234">D36*0.3363</f>
        <v>148.6446</v>
      </c>
      <c r="R36" s="38">
        <f t="shared" ref="R36" si="235">O36+P36+Q36</f>
        <v>5288.9817999999996</v>
      </c>
      <c r="S36" s="38">
        <f t="shared" ref="S36" si="236">SUM(K36+L36+M36+N36)</f>
        <v>190414.43605399999</v>
      </c>
      <c r="T36" s="41">
        <f t="shared" ref="T36" si="237">S36*16%</f>
        <v>30466.30976864</v>
      </c>
      <c r="U36" s="37"/>
      <c r="V36" s="34"/>
    </row>
    <row r="37" spans="1:241" s="5" customFormat="1" ht="18" customHeight="1" thickBot="1" x14ac:dyDescent="0.3">
      <c r="A37" s="27">
        <v>43157</v>
      </c>
      <c r="B37" s="33">
        <f>619+4665.6+5753</f>
        <v>11037.6</v>
      </c>
      <c r="C37" s="33">
        <f>75+1695+501</f>
        <v>2271</v>
      </c>
      <c r="D37" s="33">
        <f>93+579+1198</f>
        <v>1870</v>
      </c>
      <c r="E37" s="61">
        <v>17.43</v>
      </c>
      <c r="F37" s="62">
        <v>19.21</v>
      </c>
      <c r="G37" s="62">
        <v>18.41</v>
      </c>
      <c r="H37" s="83">
        <v>14.676551999999999</v>
      </c>
      <c r="I37" s="83">
        <v>16.134138</v>
      </c>
      <c r="J37" s="83">
        <v>15.580776</v>
      </c>
      <c r="K37" s="45">
        <f t="shared" ref="K37" si="238">B37*H37</f>
        <v>161993.9103552</v>
      </c>
      <c r="L37" s="45">
        <f t="shared" ref="L37" si="239">C37*I37</f>
        <v>36640.627397999997</v>
      </c>
      <c r="M37" s="45">
        <f t="shared" ref="M37" si="240">D37*J37</f>
        <v>29136.05112</v>
      </c>
      <c r="N37" s="38">
        <v>0</v>
      </c>
      <c r="O37" s="38">
        <f t="shared" ref="O37" si="241">B37*0.4052</f>
        <v>4472.43552</v>
      </c>
      <c r="P37" s="38">
        <f t="shared" ref="P37" si="242">C37*0.4944</f>
        <v>1122.7824000000001</v>
      </c>
      <c r="Q37" s="38">
        <f t="shared" ref="Q37" si="243">D37*0.3363</f>
        <v>628.88099999999997</v>
      </c>
      <c r="R37" s="38">
        <f t="shared" ref="R37" si="244">O37+P37+Q37</f>
        <v>6224.0989200000004</v>
      </c>
      <c r="S37" s="38">
        <f t="shared" ref="S37" si="245">SUM(K37+L37+M37+N37)</f>
        <v>227770.58887319997</v>
      </c>
      <c r="T37" s="41">
        <f t="shared" ref="T37" si="246">S37*16%</f>
        <v>36443.294219711999</v>
      </c>
      <c r="U37" s="37"/>
      <c r="V37" s="34"/>
    </row>
    <row r="38" spans="1:241" s="34" customFormat="1" ht="18" customHeight="1" thickBot="1" x14ac:dyDescent="0.3">
      <c r="A38" s="39">
        <v>43158</v>
      </c>
      <c r="B38" s="33">
        <f>5737+986</f>
        <v>6723</v>
      </c>
      <c r="C38" s="33">
        <f>990+2823+331</f>
        <v>4144</v>
      </c>
      <c r="D38" s="35">
        <f>1687+328</f>
        <v>2015</v>
      </c>
      <c r="E38" s="61">
        <v>17.43</v>
      </c>
      <c r="F38" s="62">
        <v>19.21</v>
      </c>
      <c r="G38" s="62">
        <v>18.41</v>
      </c>
      <c r="H38" s="83">
        <v>14.676551999999999</v>
      </c>
      <c r="I38" s="83">
        <v>16.134138</v>
      </c>
      <c r="J38" s="83">
        <v>15.580776</v>
      </c>
      <c r="K38" s="45">
        <f t="shared" ref="K38" si="247">B38*H38</f>
        <v>98670.459095999991</v>
      </c>
      <c r="L38" s="45">
        <f t="shared" ref="L38" si="248">C38*I38</f>
        <v>66859.867872000003</v>
      </c>
      <c r="M38" s="45">
        <f t="shared" ref="M38" si="249">D38*J38</f>
        <v>31395.263640000001</v>
      </c>
      <c r="N38" s="38">
        <v>172.5</v>
      </c>
      <c r="O38" s="38">
        <f t="shared" ref="O38" si="250">B38*0.4052</f>
        <v>2724.1596</v>
      </c>
      <c r="P38" s="38">
        <f t="shared" ref="P38" si="251">C38*0.4944</f>
        <v>2048.7936</v>
      </c>
      <c r="Q38" s="38">
        <f t="shared" ref="Q38" si="252">D38*0.3363</f>
        <v>677.64449999999999</v>
      </c>
      <c r="R38" s="38">
        <f t="shared" ref="R38" si="253">O38+P38+Q38</f>
        <v>5450.5977000000003</v>
      </c>
      <c r="S38" s="38">
        <f t="shared" ref="S38" si="254">SUM(K38+L38+M38+N38)</f>
        <v>197098.09060799997</v>
      </c>
      <c r="T38" s="41">
        <f t="shared" ref="T38" si="255">S38*16%</f>
        <v>31535.694497279997</v>
      </c>
      <c r="U38" s="37"/>
      <c r="V38" s="37"/>
    </row>
    <row r="39" spans="1:241" s="5" customFormat="1" ht="18" customHeight="1" x14ac:dyDescent="0.25">
      <c r="A39" s="39">
        <v>43159</v>
      </c>
      <c r="B39" s="33">
        <f>4922+5274+506-15.667</f>
        <v>10686.333000000001</v>
      </c>
      <c r="C39" s="33">
        <f>30+995+793</f>
        <v>1818</v>
      </c>
      <c r="D39" s="35">
        <f>557+1073+109</f>
        <v>1739</v>
      </c>
      <c r="E39" s="61">
        <v>17.43</v>
      </c>
      <c r="F39" s="62">
        <v>19.21</v>
      </c>
      <c r="G39" s="62">
        <v>18.41</v>
      </c>
      <c r="H39" s="83">
        <v>14.676551999999999</v>
      </c>
      <c r="I39" s="83">
        <v>16.134138</v>
      </c>
      <c r="J39" s="83">
        <v>15.580776</v>
      </c>
      <c r="K39" s="45">
        <f t="shared" ref="K39" si="256">B39*H39</f>
        <v>156838.52196381599</v>
      </c>
      <c r="L39" s="45">
        <f t="shared" ref="L39" si="257">C39*I39</f>
        <v>29331.862884000002</v>
      </c>
      <c r="M39" s="45">
        <f t="shared" ref="M39" si="258">D39*J39</f>
        <v>27094.969464000002</v>
      </c>
      <c r="N39" s="38">
        <v>206.9</v>
      </c>
      <c r="O39" s="38">
        <f t="shared" ref="O39" si="259">B39*0.4052</f>
        <v>4330.1021316000006</v>
      </c>
      <c r="P39" s="38">
        <f t="shared" ref="P39" si="260">C39*0.4944</f>
        <v>898.81920000000002</v>
      </c>
      <c r="Q39" s="38">
        <f t="shared" ref="Q39" si="261">D39*0.3363</f>
        <v>584.82569999999998</v>
      </c>
      <c r="R39" s="38">
        <f t="shared" ref="R39" si="262">O39+P39+Q39</f>
        <v>5813.7470316000008</v>
      </c>
      <c r="S39" s="38">
        <f t="shared" ref="S39" si="263">SUM(K39+L39+M39+N39)</f>
        <v>213472.25431181598</v>
      </c>
      <c r="T39" s="41">
        <f t="shared" ref="T39" si="264">S39*16%</f>
        <v>34155.560689890561</v>
      </c>
      <c r="U39" s="37"/>
      <c r="V39" s="37"/>
    </row>
    <row r="40" spans="1:241" ht="18" customHeight="1" x14ac:dyDescent="0.25">
      <c r="A40" s="5"/>
      <c r="B40" s="5"/>
      <c r="D40" s="5"/>
      <c r="E40" s="5"/>
      <c r="F40" s="5"/>
      <c r="G40" s="5"/>
      <c r="H40" s="5"/>
      <c r="I40" s="14"/>
      <c r="J40" s="4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42"/>
      <c r="V40" s="42"/>
      <c r="W40" s="4"/>
      <c r="X40" s="4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</row>
    <row r="41" spans="1:241" ht="18" customHeight="1" x14ac:dyDescent="0.25">
      <c r="A41" s="5"/>
      <c r="B41" s="5"/>
      <c r="D41" s="5"/>
      <c r="E41" s="5"/>
      <c r="F41" s="5"/>
      <c r="G41" s="5"/>
      <c r="H41" s="5"/>
      <c r="I41" s="14"/>
      <c r="J41" s="4"/>
      <c r="K41" s="4"/>
      <c r="L41" s="4"/>
      <c r="M41" s="4"/>
      <c r="N41" s="4"/>
      <c r="O41" s="4"/>
      <c r="P41" s="4"/>
      <c r="Q41" s="4"/>
      <c r="R41" s="13"/>
      <c r="S41" s="13"/>
      <c r="T41" s="13"/>
      <c r="U41" s="42"/>
      <c r="V41" s="42"/>
      <c r="W41" s="4"/>
      <c r="X41" s="4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</row>
    <row r="42" spans="1:241" ht="18" customHeight="1" x14ac:dyDescent="0.25">
      <c r="A42" s="6"/>
      <c r="B42" s="5"/>
      <c r="C42" s="5"/>
      <c r="D42" s="5"/>
      <c r="E42" s="5"/>
      <c r="F42" s="5"/>
      <c r="G42" s="5"/>
      <c r="H42" s="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</row>
    <row r="43" spans="1:241" x14ac:dyDescent="0.25">
      <c r="A43" s="43"/>
      <c r="B43" s="5" t="s">
        <v>13</v>
      </c>
      <c r="C43" s="5"/>
      <c r="D43" s="5"/>
      <c r="E43" s="5"/>
      <c r="F43" s="5"/>
      <c r="G43" s="5"/>
      <c r="H43" s="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</row>
    <row r="44" spans="1:241" x14ac:dyDescent="0.25">
      <c r="A44" s="7"/>
      <c r="B44" s="5" t="s">
        <v>14</v>
      </c>
      <c r="C44" s="5"/>
      <c r="D44" s="5"/>
      <c r="E44" s="5"/>
      <c r="F44" s="5"/>
      <c r="G44" s="5"/>
      <c r="H44" s="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</row>
    <row r="45" spans="1:241" x14ac:dyDescent="0.25">
      <c r="A45" s="5"/>
      <c r="B45" s="5"/>
      <c r="C45" s="5"/>
      <c r="D45" s="5"/>
      <c r="E45" s="5"/>
      <c r="F45" s="5"/>
      <c r="G45" s="5"/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</row>
    <row r="46" spans="1:241" x14ac:dyDescent="0.25">
      <c r="A46" s="5"/>
      <c r="B46" s="5"/>
      <c r="C46" s="5"/>
      <c r="D46" s="5"/>
      <c r="E46" s="5"/>
      <c r="F46" s="5"/>
      <c r="G46" s="5"/>
      <c r="H46" s="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</row>
    <row r="47" spans="1:241" x14ac:dyDescent="0.25">
      <c r="A47" s="5"/>
      <c r="B47" s="5"/>
      <c r="C47" s="5"/>
      <c r="D47" s="5"/>
      <c r="E47" s="5"/>
      <c r="F47" s="5"/>
      <c r="G47" s="5"/>
      <c r="H47" s="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</row>
    <row r="48" spans="1:241" x14ac:dyDescent="0.25">
      <c r="A48" s="5"/>
      <c r="B48" s="5"/>
      <c r="C48" s="5"/>
      <c r="D48" s="5"/>
      <c r="E48" s="5"/>
      <c r="F48" s="5"/>
      <c r="G48" s="5"/>
      <c r="H48" s="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</row>
    <row r="49" spans="1:124" x14ac:dyDescent="0.25">
      <c r="A49" s="5"/>
      <c r="B49" s="5"/>
      <c r="C49" s="5"/>
      <c r="D49" s="5"/>
      <c r="E49" s="5"/>
      <c r="F49" s="5"/>
      <c r="G49" s="5"/>
      <c r="H49" s="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</row>
    <row r="50" spans="1:124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</row>
    <row r="51" spans="1:124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</row>
    <row r="52" spans="1:124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</row>
    <row r="53" spans="1:124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</row>
    <row r="54" spans="1:124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</row>
    <row r="55" spans="1:124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</row>
    <row r="56" spans="1:124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</row>
    <row r="57" spans="1:124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</row>
    <row r="58" spans="1:124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</row>
    <row r="59" spans="1:124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124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124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124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124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124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1:42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1:4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1:4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2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1:4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1:4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1:4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1:4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1:4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1:4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1:4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1:4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1:4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1:4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1:42" x14ac:dyDescent="0.25">
      <c r="A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1:42" x14ac:dyDescent="0.25">
      <c r="A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1:42" x14ac:dyDescent="0.25">
      <c r="A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1:42" x14ac:dyDescent="0.25">
      <c r="A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1:42" x14ac:dyDescent="0.25">
      <c r="A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1:42" x14ac:dyDescent="0.25">
      <c r="A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1:42" x14ac:dyDescent="0.25"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1:42" x14ac:dyDescent="0.25"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</sheetData>
  <mergeCells count="6">
    <mergeCell ref="A3:J3"/>
    <mergeCell ref="E4:G4"/>
    <mergeCell ref="H4:J4"/>
    <mergeCell ref="K4:M4"/>
    <mergeCell ref="B4:D4"/>
    <mergeCell ref="A4:A5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</vt:lpstr>
      <vt:lpstr>Hoja1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2017-05-31T22:35:30Z</cp:lastPrinted>
  <dcterms:created xsi:type="dcterms:W3CDTF">2015-10-02T22:42:38Z</dcterms:created>
  <dcterms:modified xsi:type="dcterms:W3CDTF">2018-03-02T20:17:59Z</dcterms:modified>
</cp:coreProperties>
</file>