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OTROS\"/>
    </mc:Choice>
  </mc:AlternateContent>
  <bookViews>
    <workbookView xWindow="0" yWindow="0" windowWidth="19440" windowHeight="7530"/>
  </bookViews>
  <sheets>
    <sheet name="HOJA" sheetId="3" r:id="rId1"/>
    <sheet name="Hoja1" sheetId="4" r:id="rId2"/>
  </sheets>
  <definedNames>
    <definedName name="_xlnm.Print_Area" localSheetId="0">HOJA!$A$1:$T$41</definedName>
  </definedNames>
  <calcPr calcId="171027"/>
</workbook>
</file>

<file path=xl/calcChain.xml><?xml version="1.0" encoding="utf-8"?>
<calcChain xmlns="http://schemas.openxmlformats.org/spreadsheetml/2006/main">
  <c r="O24" i="3" l="1"/>
  <c r="M24" i="3"/>
  <c r="K24" i="3"/>
  <c r="D24" i="3"/>
  <c r="Q24" i="3" s="1"/>
  <c r="C24" i="3"/>
  <c r="L24" i="3" s="1"/>
  <c r="S24" i="3" s="1"/>
  <c r="T24" i="3" s="1"/>
  <c r="B24" i="3"/>
  <c r="R23" i="3"/>
  <c r="Q23" i="3"/>
  <c r="P23" i="3"/>
  <c r="O23" i="3"/>
  <c r="M23" i="3"/>
  <c r="S23" i="3" s="1"/>
  <c r="T23" i="3" s="1"/>
  <c r="L23" i="3"/>
  <c r="K23" i="3"/>
  <c r="S22" i="3"/>
  <c r="T22" i="3" s="1"/>
  <c r="Q22" i="3"/>
  <c r="P22" i="3"/>
  <c r="O22" i="3"/>
  <c r="R22" i="3" s="1"/>
  <c r="M22" i="3"/>
  <c r="L22" i="3"/>
  <c r="K22" i="3"/>
  <c r="Q21" i="3"/>
  <c r="P21" i="3"/>
  <c r="R21" i="3" s="1"/>
  <c r="O21" i="3"/>
  <c r="M21" i="3"/>
  <c r="L21" i="3"/>
  <c r="K21" i="3"/>
  <c r="S21" i="3" s="1"/>
  <c r="T21" i="3" s="1"/>
  <c r="P24" i="3" l="1"/>
  <c r="R24" i="3" s="1"/>
  <c r="P40" i="3" l="1"/>
  <c r="O40" i="3"/>
  <c r="L40" i="3"/>
  <c r="K40" i="3"/>
  <c r="D40" i="3"/>
  <c r="M40" i="3" s="1"/>
  <c r="S40" i="3" s="1"/>
  <c r="T40" i="3" s="1"/>
  <c r="C40" i="3"/>
  <c r="B40" i="3"/>
  <c r="P39" i="3"/>
  <c r="O39" i="3"/>
  <c r="L39" i="3"/>
  <c r="K39" i="3"/>
  <c r="D39" i="3"/>
  <c r="M39" i="3" s="1"/>
  <c r="S39" i="3" s="1"/>
  <c r="T39" i="3" s="1"/>
  <c r="C39" i="3"/>
  <c r="B39" i="3"/>
  <c r="P38" i="3"/>
  <c r="O38" i="3"/>
  <c r="L38" i="3"/>
  <c r="K38" i="3"/>
  <c r="D38" i="3"/>
  <c r="M38" i="3" s="1"/>
  <c r="S38" i="3" s="1"/>
  <c r="T38" i="3" s="1"/>
  <c r="C38" i="3"/>
  <c r="B38" i="3"/>
  <c r="S37" i="3"/>
  <c r="T37" i="3" s="1"/>
  <c r="Q37" i="3"/>
  <c r="P37" i="3"/>
  <c r="O37" i="3"/>
  <c r="R37" i="3" s="1"/>
  <c r="M37" i="3"/>
  <c r="L37" i="3"/>
  <c r="K37" i="3"/>
  <c r="Q36" i="3"/>
  <c r="P36" i="3"/>
  <c r="M36" i="3"/>
  <c r="L36" i="3"/>
  <c r="K36" i="3"/>
  <c r="S36" i="3" s="1"/>
  <c r="T36" i="3" s="1"/>
  <c r="C36" i="3"/>
  <c r="B36" i="3"/>
  <c r="O36" i="3" s="1"/>
  <c r="R36" i="3" s="1"/>
  <c r="R39" i="3" l="1"/>
  <c r="Q38" i="3"/>
  <c r="R38" i="3" s="1"/>
  <c r="Q39" i="3"/>
  <c r="Q40" i="3"/>
  <c r="R40" i="3" s="1"/>
  <c r="Q41" i="3" l="1"/>
  <c r="P41" i="3"/>
  <c r="N41" i="3"/>
  <c r="M41" i="3"/>
  <c r="L41" i="3"/>
  <c r="K41" i="3"/>
  <c r="S41" i="3" s="1"/>
  <c r="T41" i="3" s="1"/>
  <c r="D41" i="3"/>
  <c r="C41" i="3"/>
  <c r="B41" i="3"/>
  <c r="O41" i="3" s="1"/>
  <c r="R41" i="3" s="1"/>
  <c r="Q35" i="3" l="1"/>
  <c r="P35" i="3"/>
  <c r="O35" i="3"/>
  <c r="R35" i="3" s="1"/>
  <c r="M35" i="3"/>
  <c r="L35" i="3"/>
  <c r="K35" i="3"/>
  <c r="S35" i="3" s="1"/>
  <c r="T35" i="3" s="1"/>
  <c r="Q34" i="3"/>
  <c r="R34" i="3" s="1"/>
  <c r="P34" i="3"/>
  <c r="O34" i="3"/>
  <c r="M34" i="3"/>
  <c r="L34" i="3"/>
  <c r="K34" i="3"/>
  <c r="S34" i="3" s="1"/>
  <c r="T34" i="3" s="1"/>
  <c r="Q33" i="3"/>
  <c r="M33" i="3"/>
  <c r="C33" i="3"/>
  <c r="L33" i="3" s="1"/>
  <c r="B33" i="3"/>
  <c r="O33" i="3" s="1"/>
  <c r="K33" i="3" l="1"/>
  <c r="S33" i="3" s="1"/>
  <c r="T33" i="3" s="1"/>
  <c r="P33" i="3"/>
  <c r="R33" i="3" s="1"/>
  <c r="R43" i="3" s="1"/>
  <c r="D32" i="3"/>
  <c r="C32" i="3"/>
  <c r="B32" i="3"/>
  <c r="T43" i="3"/>
  <c r="L43" i="3"/>
  <c r="M43" i="3"/>
  <c r="N43" i="3"/>
  <c r="N32" i="3"/>
  <c r="S43" i="3" l="1"/>
  <c r="K43" i="3"/>
  <c r="K32" i="3"/>
  <c r="L32" i="3"/>
  <c r="M32" i="3"/>
  <c r="O32" i="3"/>
  <c r="P32" i="3"/>
  <c r="Q32" i="3"/>
  <c r="R32" i="3" l="1"/>
  <c r="S32" i="3"/>
  <c r="T32" i="3" s="1"/>
  <c r="C31" i="3"/>
  <c r="D31" i="3"/>
  <c r="Q31" i="3" s="1"/>
  <c r="P31" i="3"/>
  <c r="B31" i="3"/>
  <c r="K31" i="3" s="1"/>
  <c r="L31" i="3"/>
  <c r="M31" i="3" l="1"/>
  <c r="S31" i="3"/>
  <c r="T31" i="3" s="1"/>
  <c r="O31" i="3"/>
  <c r="R31" i="3" s="1"/>
  <c r="D30" i="3"/>
  <c r="Q30" i="3" s="1"/>
  <c r="C30" i="3"/>
  <c r="P30" i="3" s="1"/>
  <c r="B30" i="3"/>
  <c r="K30" i="3"/>
  <c r="M30" i="3"/>
  <c r="O30" i="3"/>
  <c r="L30" i="3" l="1"/>
  <c r="S30" i="3" s="1"/>
  <c r="T30" i="3" s="1"/>
  <c r="R30" i="3"/>
  <c r="C28" i="3"/>
  <c r="B28" i="3"/>
  <c r="K29" i="3" l="1"/>
  <c r="S29" i="3" s="1"/>
  <c r="T29" i="3" s="1"/>
  <c r="L29" i="3"/>
  <c r="M29" i="3"/>
  <c r="O29" i="3"/>
  <c r="P29" i="3"/>
  <c r="R29" i="3" s="1"/>
  <c r="Q29" i="3"/>
  <c r="L28" i="3"/>
  <c r="K28" i="3"/>
  <c r="M28" i="3"/>
  <c r="C25" i="3" l="1"/>
  <c r="B25" i="3"/>
  <c r="N3" i="3"/>
  <c r="O26" i="3"/>
  <c r="P26" i="3"/>
  <c r="Q26" i="3"/>
  <c r="M26" i="3"/>
  <c r="L26" i="3"/>
  <c r="K26" i="3"/>
  <c r="R26" i="3" l="1"/>
  <c r="S26" i="3"/>
  <c r="T26" i="3" s="1"/>
  <c r="D27" i="3"/>
  <c r="C27" i="3"/>
  <c r="B27" i="3"/>
  <c r="N19" i="3"/>
  <c r="D19" i="3"/>
  <c r="Q19" i="3" s="1"/>
  <c r="C19" i="3"/>
  <c r="B19" i="3"/>
  <c r="K19" i="3" s="1"/>
  <c r="P19" i="3"/>
  <c r="K20" i="3"/>
  <c r="L20" i="3"/>
  <c r="M20" i="3"/>
  <c r="O20" i="3"/>
  <c r="R20" i="3" s="1"/>
  <c r="P20" i="3"/>
  <c r="Q20" i="3"/>
  <c r="M19" i="3" l="1"/>
  <c r="O19" i="3"/>
  <c r="R19" i="3" s="1"/>
  <c r="L19" i="3"/>
  <c r="S20" i="3"/>
  <c r="T20" i="3" s="1"/>
  <c r="N18" i="3"/>
  <c r="D18" i="3"/>
  <c r="C18" i="3"/>
  <c r="B18" i="3"/>
  <c r="N17" i="3"/>
  <c r="D17" i="3"/>
  <c r="C17" i="3"/>
  <c r="B17" i="3"/>
  <c r="S19" i="3" l="1"/>
  <c r="T19" i="3"/>
  <c r="N15" i="3"/>
  <c r="D15" i="3"/>
  <c r="C15" i="3"/>
  <c r="B15" i="3"/>
  <c r="K15" i="3" l="1"/>
  <c r="L15" i="3"/>
  <c r="M15" i="3"/>
  <c r="O15" i="3"/>
  <c r="P15" i="3"/>
  <c r="Q15" i="3"/>
  <c r="N14" i="3"/>
  <c r="D14" i="3"/>
  <c r="C14" i="3"/>
  <c r="B14" i="3"/>
  <c r="N13" i="3"/>
  <c r="D13" i="3"/>
  <c r="C13" i="3"/>
  <c r="B13" i="3"/>
  <c r="R15" i="3" l="1"/>
  <c r="S15" i="3"/>
  <c r="T15" i="3" s="1"/>
  <c r="N12" i="3"/>
  <c r="D12" i="3"/>
  <c r="C12" i="3"/>
  <c r="B12" i="3"/>
  <c r="N11" i="3"/>
  <c r="D11" i="3"/>
  <c r="C11" i="3"/>
  <c r="B11" i="3"/>
  <c r="N10" i="3" l="1"/>
  <c r="D10" i="3"/>
  <c r="Q10" i="3" s="1"/>
  <c r="C10" i="3"/>
  <c r="B10" i="3"/>
  <c r="O10" i="3" s="1"/>
  <c r="N8" i="3"/>
  <c r="D8" i="3"/>
  <c r="Q8" i="3" s="1"/>
  <c r="C8" i="3"/>
  <c r="B8" i="3"/>
  <c r="O8" i="3" s="1"/>
  <c r="K9" i="3"/>
  <c r="L9" i="3"/>
  <c r="M9" i="3"/>
  <c r="O9" i="3"/>
  <c r="P9" i="3"/>
  <c r="Q9" i="3"/>
  <c r="N7" i="3"/>
  <c r="D7" i="3"/>
  <c r="Q7" i="3" s="1"/>
  <c r="C7" i="3"/>
  <c r="P7" i="3" s="1"/>
  <c r="B7" i="3"/>
  <c r="O7" i="3" s="1"/>
  <c r="N6" i="3"/>
  <c r="D6" i="3"/>
  <c r="Q6" i="3" s="1"/>
  <c r="C6" i="3"/>
  <c r="P6" i="3" s="1"/>
  <c r="B6" i="3"/>
  <c r="O6" i="3" s="1"/>
  <c r="P8" i="3"/>
  <c r="P10" i="3"/>
  <c r="O11" i="3"/>
  <c r="P11" i="3"/>
  <c r="Q11" i="3"/>
  <c r="O12" i="3"/>
  <c r="P12" i="3"/>
  <c r="Q12" i="3"/>
  <c r="O13" i="3"/>
  <c r="P13" i="3"/>
  <c r="Q13" i="3"/>
  <c r="O14" i="3"/>
  <c r="P14" i="3"/>
  <c r="Q14" i="3"/>
  <c r="O16" i="3"/>
  <c r="P16" i="3"/>
  <c r="Q16" i="3"/>
  <c r="O17" i="3"/>
  <c r="P17" i="3"/>
  <c r="Q17" i="3"/>
  <c r="O18" i="3"/>
  <c r="P18" i="3"/>
  <c r="Q18" i="3"/>
  <c r="O25" i="3"/>
  <c r="P25" i="3"/>
  <c r="Q25" i="3"/>
  <c r="O27" i="3"/>
  <c r="P27" i="3"/>
  <c r="Q27" i="3"/>
  <c r="O28" i="3"/>
  <c r="P28" i="3"/>
  <c r="Q28" i="3"/>
  <c r="S9" i="3" l="1"/>
  <c r="T9" i="3" s="1"/>
  <c r="R6" i="3"/>
  <c r="R9" i="3"/>
  <c r="K17" i="3" l="1"/>
  <c r="L17" i="3"/>
  <c r="M17" i="3"/>
  <c r="S17" i="3" l="1"/>
  <c r="T17" i="3" s="1"/>
  <c r="R17" i="3"/>
  <c r="K7" i="3" l="1"/>
  <c r="L7" i="3"/>
  <c r="M7" i="3"/>
  <c r="S7" i="3" l="1"/>
  <c r="T7" i="3" s="1"/>
  <c r="R7" i="3"/>
  <c r="K25" i="3" l="1"/>
  <c r="K3" i="3" s="1"/>
  <c r="L25" i="3"/>
  <c r="M25" i="3"/>
  <c r="M3" i="3" l="1"/>
  <c r="L3" i="3"/>
  <c r="R25" i="3"/>
  <c r="S25" i="3"/>
  <c r="R3" i="3" l="1"/>
  <c r="S3" i="3"/>
  <c r="T25" i="3"/>
  <c r="T3" i="3" l="1"/>
  <c r="K10" i="3"/>
  <c r="L10" i="3"/>
  <c r="M10" i="3"/>
  <c r="R10" i="3" l="1"/>
  <c r="S10" i="3"/>
  <c r="T10" i="3" s="1"/>
  <c r="M18" i="3" l="1"/>
  <c r="K11" i="3" l="1"/>
  <c r="L11" i="3"/>
  <c r="M11" i="3"/>
  <c r="R11" i="3"/>
  <c r="S11" i="3" l="1"/>
  <c r="T11" i="3" l="1"/>
  <c r="L18" i="3" l="1"/>
  <c r="K18" i="3"/>
  <c r="S18" i="3" l="1"/>
  <c r="R18" i="3"/>
  <c r="T18" i="3" l="1"/>
  <c r="M27" i="3" l="1"/>
  <c r="L27" i="3"/>
  <c r="R27" i="3"/>
  <c r="K27" i="3"/>
  <c r="S27" i="3" l="1"/>
  <c r="T27" i="3" l="1"/>
  <c r="K13" i="3"/>
  <c r="L13" i="3"/>
  <c r="M13" i="3"/>
  <c r="S13" i="3" l="1"/>
  <c r="T13" i="3" s="1"/>
  <c r="R13" i="3"/>
  <c r="L12" i="3" l="1"/>
  <c r="K12" i="3"/>
  <c r="M12" i="3"/>
  <c r="R12" i="3" l="1"/>
  <c r="S12" i="3"/>
  <c r="T12" i="3" l="1"/>
  <c r="L8" i="3" l="1"/>
  <c r="K8" i="3"/>
  <c r="M8" i="3"/>
  <c r="K14" i="3"/>
  <c r="L14" i="3"/>
  <c r="M14" i="3"/>
  <c r="R14" i="3" l="1"/>
  <c r="S14" i="3"/>
  <c r="T14" i="3" s="1"/>
  <c r="S8" i="3"/>
  <c r="T8" i="3" l="1"/>
  <c r="R8" i="3"/>
  <c r="R28" i="3" l="1"/>
  <c r="S28" i="3"/>
  <c r="T28" i="3" s="1"/>
  <c r="K16" i="3"/>
  <c r="L16" i="3"/>
  <c r="M16" i="3"/>
  <c r="S16" i="3" l="1"/>
  <c r="R16" i="3"/>
  <c r="T16" i="3" l="1"/>
  <c r="K6" i="3" l="1"/>
  <c r="L6" i="3" l="1"/>
  <c r="M6" i="3"/>
  <c r="S6" i="3" l="1"/>
  <c r="T6" i="3" l="1"/>
</calcChain>
</file>

<file path=xl/sharedStrings.xml><?xml version="1.0" encoding="utf-8"?>
<sst xmlns="http://schemas.openxmlformats.org/spreadsheetml/2006/main" count="31" uniqueCount="20">
  <si>
    <t>PRECIOS SIN IVA</t>
  </si>
  <si>
    <t>IMPORTE SIN IVA</t>
  </si>
  <si>
    <t>ACEITES</t>
  </si>
  <si>
    <t>IEPS</t>
  </si>
  <si>
    <t>SUMA</t>
  </si>
  <si>
    <t>SUMA TOTAL</t>
  </si>
  <si>
    <t>IVA</t>
  </si>
  <si>
    <t>MAGNA</t>
  </si>
  <si>
    <t>PREMIUM</t>
  </si>
  <si>
    <t>DISEL</t>
  </si>
  <si>
    <t>S/IVA</t>
  </si>
  <si>
    <t>TOTAL IEPS</t>
  </si>
  <si>
    <t>MAG. PREM. DISEL</t>
  </si>
  <si>
    <t>CAMBIO DE PRECIO</t>
  </si>
  <si>
    <t>MODIFICACIÓN DE INFORMACIÓN</t>
  </si>
  <si>
    <t>PRECIOS CON IVA</t>
  </si>
  <si>
    <t>IMPORTES</t>
  </si>
  <si>
    <t>DíA</t>
  </si>
  <si>
    <t>DIESEL</t>
  </si>
  <si>
    <t xml:space="preserve">     ESTACIÓN-9627  (ENERO - 2018)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</si>
</sst>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00"/>
    <numFmt numFmtId="165" formatCode="_-[$€-2]* #,##0.00_-;\-[$€-2]* #,##0.00_-;_-[$€-2]* &quot;-&quot;??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8"/>
      <name val="Arial"/>
      <family val="2"/>
    </font>
    <font>
      <b/>
      <i/>
      <sz val="14"/>
      <color theme="1"/>
      <name val="Arial"/>
      <family val="2"/>
    </font>
    <font>
      <b/>
      <i/>
      <sz val="14"/>
      <name val="Arial"/>
      <family val="2"/>
    </font>
    <font>
      <b/>
      <i/>
      <sz val="14"/>
      <color theme="9" tint="-0.499984740745262"/>
      <name val="Arial"/>
      <family val="2"/>
    </font>
    <font>
      <b/>
      <sz val="14"/>
      <color theme="9" tint="-0.499984740745262"/>
      <name val="Arial"/>
      <family val="2"/>
    </font>
    <font>
      <b/>
      <i/>
      <sz val="14"/>
      <color theme="0"/>
      <name val="Arial"/>
      <family val="2"/>
    </font>
    <font>
      <sz val="14"/>
      <color rgb="FFFF0000"/>
      <name val="Arial"/>
      <family val="2"/>
    </font>
    <font>
      <b/>
      <sz val="18"/>
      <name val="Bookman Old Style"/>
      <family val="1"/>
    </font>
    <font>
      <b/>
      <sz val="14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2" fillId="0" borderId="0" xfId="1" applyFont="1"/>
    <xf numFmtId="2" fontId="2" fillId="6" borderId="5" xfId="1" applyNumberFormat="1" applyFont="1" applyFill="1" applyBorder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2" fillId="6" borderId="0" xfId="1" applyFont="1" applyFill="1" applyBorder="1"/>
    <xf numFmtId="0" fontId="2" fillId="6" borderId="0" xfId="1" applyFont="1" applyFill="1"/>
    <xf numFmtId="0" fontId="2" fillId="8" borderId="5" xfId="1" applyFont="1" applyFill="1" applyBorder="1"/>
    <xf numFmtId="0" fontId="2" fillId="7" borderId="5" xfId="1" applyFont="1" applyFill="1" applyBorder="1"/>
    <xf numFmtId="2" fontId="2" fillId="6" borderId="0" xfId="1" applyNumberFormat="1" applyFont="1" applyFill="1"/>
    <xf numFmtId="164" fontId="2" fillId="6" borderId="0" xfId="1" applyNumberFormat="1" applyFont="1" applyFill="1"/>
    <xf numFmtId="0" fontId="2" fillId="10" borderId="5" xfId="1" applyFont="1" applyFill="1" applyBorder="1"/>
    <xf numFmtId="0" fontId="9" fillId="7" borderId="2" xfId="1" applyFont="1" applyFill="1" applyBorder="1" applyAlignment="1">
      <alignment horizontal="center"/>
    </xf>
    <xf numFmtId="0" fontId="9" fillId="7" borderId="1" xfId="1" applyFont="1" applyFill="1" applyBorder="1" applyAlignment="1">
      <alignment horizontal="center"/>
    </xf>
    <xf numFmtId="0" fontId="9" fillId="7" borderId="3" xfId="1" applyFont="1" applyFill="1" applyBorder="1" applyAlignment="1">
      <alignment horizontal="center"/>
    </xf>
    <xf numFmtId="0" fontId="9" fillId="7" borderId="4" xfId="1" applyFont="1" applyFill="1" applyBorder="1" applyAlignment="1">
      <alignment horizontal="center"/>
    </xf>
    <xf numFmtId="2" fontId="4" fillId="6" borderId="5" xfId="1" applyNumberFormat="1" applyFont="1" applyFill="1" applyBorder="1" applyAlignment="1">
      <alignment horizontal="center"/>
    </xf>
    <xf numFmtId="164" fontId="2" fillId="6" borderId="5" xfId="1" applyNumberFormat="1" applyFont="1" applyFill="1" applyBorder="1"/>
    <xf numFmtId="2" fontId="2" fillId="6" borderId="0" xfId="1" applyNumberFormat="1" applyFont="1" applyFill="1" applyBorder="1"/>
    <xf numFmtId="0" fontId="11" fillId="6" borderId="0" xfId="1" applyFont="1" applyFill="1" applyBorder="1"/>
    <xf numFmtId="2" fontId="2" fillId="6" borderId="7" xfId="1" applyNumberFormat="1" applyFont="1" applyFill="1" applyBorder="1"/>
    <xf numFmtId="0" fontId="7" fillId="12" borderId="8" xfId="1" applyFont="1" applyFill="1" applyBorder="1" applyAlignment="1">
      <alignment horizontal="center"/>
    </xf>
    <xf numFmtId="0" fontId="7" fillId="13" borderId="8" xfId="1" applyFont="1" applyFill="1" applyBorder="1" applyAlignment="1">
      <alignment horizontal="center"/>
    </xf>
    <xf numFmtId="0" fontId="10" fillId="11" borderId="6" xfId="1" applyFont="1" applyFill="1" applyBorder="1" applyAlignment="1">
      <alignment horizontal="center"/>
    </xf>
    <xf numFmtId="0" fontId="7" fillId="12" borderId="6" xfId="1" applyFont="1" applyFill="1" applyBorder="1" applyAlignment="1">
      <alignment horizontal="center"/>
    </xf>
    <xf numFmtId="0" fontId="10" fillId="11" borderId="9" xfId="1" applyFont="1" applyFill="1" applyBorder="1" applyAlignment="1">
      <alignment horizontal="center"/>
    </xf>
    <xf numFmtId="2" fontId="2" fillId="6" borderId="5" xfId="1" applyNumberFormat="1" applyFont="1" applyFill="1" applyBorder="1"/>
    <xf numFmtId="16" fontId="2" fillId="6" borderId="13" xfId="1" applyNumberFormat="1" applyFont="1" applyFill="1" applyBorder="1" applyAlignment="1">
      <alignment horizontal="center"/>
    </xf>
    <xf numFmtId="0" fontId="7" fillId="4" borderId="6" xfId="1" applyFont="1" applyFill="1" applyBorder="1" applyAlignment="1">
      <alignment horizontal="center"/>
    </xf>
    <xf numFmtId="0" fontId="7" fillId="4" borderId="8" xfId="1" applyFont="1" applyFill="1" applyBorder="1" applyAlignment="1">
      <alignment horizontal="center"/>
    </xf>
    <xf numFmtId="0" fontId="7" fillId="4" borderId="9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7" fillId="5" borderId="8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center"/>
    </xf>
    <xf numFmtId="9" fontId="7" fillId="3" borderId="8" xfId="1" applyNumberFormat="1" applyFont="1" applyFill="1" applyBorder="1" applyAlignment="1">
      <alignment horizontal="center"/>
    </xf>
    <xf numFmtId="16" fontId="2" fillId="6" borderId="12" xfId="1" applyNumberFormat="1" applyFont="1" applyFill="1" applyBorder="1" applyAlignment="1">
      <alignment horizontal="center"/>
    </xf>
    <xf numFmtId="2" fontId="2" fillId="6" borderId="10" xfId="1" applyNumberFormat="1" applyFont="1" applyFill="1" applyBorder="1" applyAlignment="1">
      <alignment horizontal="center"/>
    </xf>
    <xf numFmtId="0" fontId="2" fillId="6" borderId="10" xfId="1" applyFont="1" applyFill="1" applyBorder="1" applyAlignment="1">
      <alignment horizontal="center"/>
    </xf>
    <xf numFmtId="2" fontId="4" fillId="6" borderId="10" xfId="1" applyNumberFormat="1" applyFont="1" applyFill="1" applyBorder="1" applyAlignment="1">
      <alignment horizontal="center"/>
    </xf>
    <xf numFmtId="164" fontId="2" fillId="6" borderId="10" xfId="1" applyNumberFormat="1" applyFont="1" applyFill="1" applyBorder="1"/>
    <xf numFmtId="2" fontId="2" fillId="6" borderId="10" xfId="1" applyNumberFormat="1" applyFont="1" applyFill="1" applyBorder="1"/>
    <xf numFmtId="2" fontId="2" fillId="6" borderId="11" xfId="1" applyNumberFormat="1" applyFont="1" applyFill="1" applyBorder="1"/>
    <xf numFmtId="16" fontId="7" fillId="10" borderId="13" xfId="1" applyNumberFormat="1" applyFont="1" applyFill="1" applyBorder="1" applyAlignment="1">
      <alignment horizontal="center"/>
    </xf>
    <xf numFmtId="2" fontId="6" fillId="10" borderId="5" xfId="1" applyNumberFormat="1" applyFont="1" applyFill="1" applyBorder="1" applyAlignment="1">
      <alignment horizontal="center"/>
    </xf>
    <xf numFmtId="2" fontId="7" fillId="10" borderId="5" xfId="1" applyNumberFormat="1" applyFont="1" applyFill="1" applyBorder="1" applyAlignment="1">
      <alignment horizontal="center"/>
    </xf>
    <xf numFmtId="164" fontId="7" fillId="10" borderId="5" xfId="1" applyNumberFormat="1" applyFont="1" applyFill="1" applyBorder="1"/>
    <xf numFmtId="2" fontId="5" fillId="6" borderId="0" xfId="1" applyNumberFormat="1" applyFont="1" applyFill="1" applyBorder="1" applyAlignment="1"/>
    <xf numFmtId="2" fontId="2" fillId="0" borderId="5" xfId="1" applyNumberFormat="1" applyFont="1" applyFill="1" applyBorder="1" applyAlignment="1">
      <alignment horizontal="center"/>
    </xf>
    <xf numFmtId="2" fontId="4" fillId="0" borderId="5" xfId="1" applyNumberFormat="1" applyFont="1" applyFill="1" applyBorder="1" applyAlignment="1">
      <alignment horizontal="center"/>
    </xf>
    <xf numFmtId="164" fontId="2" fillId="0" borderId="5" xfId="1" applyNumberFormat="1" applyFont="1" applyFill="1" applyBorder="1"/>
    <xf numFmtId="2" fontId="2" fillId="0" borderId="5" xfId="1" applyNumberFormat="1" applyFont="1" applyFill="1" applyBorder="1"/>
    <xf numFmtId="2" fontId="2" fillId="0" borderId="7" xfId="1" applyNumberFormat="1" applyFont="1" applyFill="1" applyBorder="1"/>
    <xf numFmtId="0" fontId="2" fillId="0" borderId="0" xfId="1" applyFont="1" applyFill="1"/>
    <xf numFmtId="16" fontId="2" fillId="0" borderId="13" xfId="1" applyNumberFormat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164" fontId="2" fillId="0" borderId="0" xfId="1" applyNumberFormat="1" applyFont="1" applyFill="1"/>
    <xf numFmtId="2" fontId="2" fillId="0" borderId="0" xfId="1" applyNumberFormat="1" applyFont="1" applyFill="1"/>
    <xf numFmtId="16" fontId="3" fillId="10" borderId="13" xfId="1" applyNumberFormat="1" applyFont="1" applyFill="1" applyBorder="1" applyAlignment="1">
      <alignment horizontal="center"/>
    </xf>
    <xf numFmtId="2" fontId="13" fillId="10" borderId="5" xfId="1" applyNumberFormat="1" applyFont="1" applyFill="1" applyBorder="1" applyAlignment="1">
      <alignment horizontal="center"/>
    </xf>
    <xf numFmtId="2" fontId="3" fillId="10" borderId="5" xfId="1" applyNumberFormat="1" applyFont="1" applyFill="1" applyBorder="1" applyAlignment="1">
      <alignment horizontal="center"/>
    </xf>
    <xf numFmtId="164" fontId="3" fillId="10" borderId="5" xfId="1" applyNumberFormat="1" applyFont="1" applyFill="1" applyBorder="1"/>
    <xf numFmtId="2" fontId="13" fillId="0" borderId="5" xfId="1" applyNumberFormat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center"/>
    </xf>
    <xf numFmtId="164" fontId="3" fillId="0" borderId="5" xfId="1" applyNumberFormat="1" applyFont="1" applyFill="1" applyBorder="1"/>
    <xf numFmtId="2" fontId="2" fillId="0" borderId="10" xfId="1" applyNumberFormat="1" applyFont="1" applyFill="1" applyBorder="1"/>
    <xf numFmtId="0" fontId="12" fillId="9" borderId="1" xfId="1" applyFont="1" applyFill="1" applyBorder="1" applyAlignment="1">
      <alignment horizontal="center" vertical="center"/>
    </xf>
    <xf numFmtId="0" fontId="12" fillId="9" borderId="2" xfId="1" applyFont="1" applyFill="1" applyBorder="1" applyAlignment="1">
      <alignment horizontal="center" vertical="center"/>
    </xf>
    <xf numFmtId="0" fontId="12" fillId="9" borderId="3" xfId="1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/>
    </xf>
    <xf numFmtId="0" fontId="8" fillId="7" borderId="2" xfId="1" applyFont="1" applyFill="1" applyBorder="1" applyAlignment="1">
      <alignment horizontal="center"/>
    </xf>
    <xf numFmtId="0" fontId="8" fillId="7" borderId="3" xfId="1" applyFont="1" applyFill="1" applyBorder="1" applyAlignment="1">
      <alignment horizontal="center"/>
    </xf>
    <xf numFmtId="0" fontId="3" fillId="14" borderId="8" xfId="1" applyFont="1" applyFill="1" applyBorder="1" applyAlignment="1">
      <alignment horizontal="center" vertical="center" textRotation="45"/>
    </xf>
    <xf numFmtId="0" fontId="0" fillId="0" borderId="17" xfId="0" applyBorder="1" applyAlignment="1">
      <alignment textRotation="45"/>
    </xf>
    <xf numFmtId="2" fontId="2" fillId="15" borderId="5" xfId="1" applyNumberFormat="1" applyFont="1" applyFill="1" applyBorder="1"/>
    <xf numFmtId="2" fontId="4" fillId="10" borderId="5" xfId="1" applyNumberFormat="1" applyFont="1" applyFill="1" applyBorder="1" applyAlignment="1">
      <alignment horizontal="center"/>
    </xf>
    <xf numFmtId="2" fontId="2" fillId="10" borderId="5" xfId="1" applyNumberFormat="1" applyFont="1" applyFill="1" applyBorder="1" applyAlignment="1">
      <alignment horizontal="center"/>
    </xf>
    <xf numFmtId="164" fontId="2" fillId="10" borderId="5" xfId="1" applyNumberFormat="1" applyFont="1" applyFill="1" applyBorder="1"/>
    <xf numFmtId="16" fontId="2" fillId="0" borderId="14" xfId="1" applyNumberFormat="1" applyFont="1" applyFill="1" applyBorder="1" applyAlignment="1">
      <alignment horizontal="center"/>
    </xf>
    <xf numFmtId="0" fontId="2" fillId="0" borderId="15" xfId="1" applyFont="1" applyFill="1" applyBorder="1" applyAlignment="1">
      <alignment horizontal="center"/>
    </xf>
    <xf numFmtId="2" fontId="2" fillId="0" borderId="15" xfId="1" applyNumberFormat="1" applyFont="1" applyFill="1" applyBorder="1" applyAlignment="1">
      <alignment horizontal="center"/>
    </xf>
    <xf numFmtId="2" fontId="2" fillId="0" borderId="15" xfId="1" applyNumberFormat="1" applyFont="1" applyFill="1" applyBorder="1"/>
    <xf numFmtId="2" fontId="2" fillId="0" borderId="16" xfId="1" applyNumberFormat="1" applyFont="1" applyFill="1" applyBorder="1"/>
    <xf numFmtId="16" fontId="13" fillId="10" borderId="13" xfId="1" applyNumberFormat="1" applyFont="1" applyFill="1" applyBorder="1" applyAlignment="1">
      <alignment horizontal="center"/>
    </xf>
  </cellXfs>
  <cellStyles count="8">
    <cellStyle name="Euro" xfId="2"/>
    <cellStyle name="Millares 2" xfId="3"/>
    <cellStyle name="Moneda 2" xfId="4"/>
    <cellStyle name="NivelFila_1" xfId="5"/>
    <cellStyle name="Normal" xfId="0" builtinId="0"/>
    <cellStyle name="Normal 2" xfId="1"/>
    <cellStyle name="Normal 3" xfId="6"/>
    <cellStyle name="Normal 4" xfId="7"/>
  </cellStyles>
  <dxfs count="0"/>
  <tableStyles count="0" defaultTableStyle="TableStyleMedium9" defaultPivotStyle="PivotStyleLight16"/>
  <colors>
    <mruColors>
      <color rgb="FF66FF66"/>
      <color rgb="FF008A3E"/>
      <color rgb="FFD00000"/>
      <color rgb="FF9966FF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O92"/>
  <sheetViews>
    <sheetView tabSelected="1" topLeftCell="A27" zoomScale="90" zoomScaleNormal="90" workbookViewId="0">
      <selection activeCell="E37" sqref="E37:J37"/>
    </sheetView>
  </sheetViews>
  <sheetFormatPr baseColWidth="10" defaultColWidth="11.7109375" defaultRowHeight="18" x14ac:dyDescent="0.25"/>
  <cols>
    <col min="1" max="7" width="15.7109375" style="1" customWidth="1"/>
    <col min="8" max="8" width="17.42578125" style="1" customWidth="1"/>
    <col min="9" max="9" width="17" style="1" customWidth="1"/>
    <col min="10" max="10" width="15.7109375" style="1" customWidth="1"/>
    <col min="11" max="11" width="19.140625" style="1" customWidth="1"/>
    <col min="12" max="17" width="15.7109375" style="1" customWidth="1"/>
    <col min="18" max="18" width="17.85546875" style="1" bestFit="1" customWidth="1"/>
    <col min="19" max="19" width="27.140625" style="1" bestFit="1" customWidth="1"/>
    <col min="20" max="20" width="15.7109375" style="1" customWidth="1"/>
    <col min="21" max="21" width="11.7109375" style="1"/>
    <col min="22" max="22" width="19.7109375" style="1" customWidth="1"/>
    <col min="23" max="23" width="13" style="1" bestFit="1" customWidth="1"/>
    <col min="24" max="24" width="14.5703125" style="1" bestFit="1" customWidth="1"/>
    <col min="25" max="26" width="11.7109375" style="1"/>
    <col min="27" max="27" width="13" style="1" bestFit="1" customWidth="1"/>
    <col min="28" max="28" width="14.5703125" style="1" bestFit="1" customWidth="1"/>
    <col min="29" max="16384" width="11.7109375" style="1"/>
  </cols>
  <sheetData>
    <row r="1" spans="1:379" s="5" customFormat="1" ht="21.75" customHeight="1" thickBot="1" x14ac:dyDescent="0.3"/>
    <row r="2" spans="1:379" ht="18" hidden="1" customHeight="1" x14ac:dyDescent="0.25"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379" ht="34.5" customHeight="1" thickBot="1" x14ac:dyDescent="0.4">
      <c r="A3" s="64" t="s">
        <v>19</v>
      </c>
      <c r="B3" s="65"/>
      <c r="C3" s="65"/>
      <c r="D3" s="65"/>
      <c r="E3" s="65"/>
      <c r="F3" s="65"/>
      <c r="G3" s="65"/>
      <c r="H3" s="65"/>
      <c r="I3" s="65"/>
      <c r="J3" s="66"/>
      <c r="K3" s="45">
        <f>SUM(K25:K26)</f>
        <v>120118.62</v>
      </c>
      <c r="L3" s="45">
        <f t="shared" ref="L3:N3" si="0">SUM(L25:L26)</f>
        <v>22622.938450000001</v>
      </c>
      <c r="M3" s="45">
        <f t="shared" si="0"/>
        <v>3278.8246600000002</v>
      </c>
      <c r="N3" s="45">
        <f t="shared" si="0"/>
        <v>137.93</v>
      </c>
      <c r="O3" s="5"/>
      <c r="P3" s="5"/>
      <c r="Q3" s="5"/>
      <c r="R3" s="8">
        <f>SUM(R25:R26)</f>
        <v>4219.6278000000002</v>
      </c>
      <c r="S3" s="8">
        <f t="shared" ref="S3:T3" si="1">SUM(S25:S26)</f>
        <v>146158.31310999999</v>
      </c>
      <c r="T3" s="8">
        <f t="shared" si="1"/>
        <v>23385.330097599999</v>
      </c>
      <c r="U3" s="4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379" s="5" customFormat="1" ht="18" customHeight="1" thickBot="1" x14ac:dyDescent="0.35">
      <c r="A4" s="70" t="s">
        <v>17</v>
      </c>
      <c r="B4" s="67" t="s">
        <v>16</v>
      </c>
      <c r="C4" s="68"/>
      <c r="D4" s="69"/>
      <c r="E4" s="67" t="s">
        <v>15</v>
      </c>
      <c r="F4" s="68"/>
      <c r="G4" s="69"/>
      <c r="H4" s="67" t="s">
        <v>0</v>
      </c>
      <c r="I4" s="68"/>
      <c r="J4" s="69"/>
      <c r="K4" s="67" t="s">
        <v>1</v>
      </c>
      <c r="L4" s="68"/>
      <c r="M4" s="69"/>
      <c r="N4" s="11" t="s">
        <v>2</v>
      </c>
      <c r="O4" s="12"/>
      <c r="P4" s="11" t="s">
        <v>3</v>
      </c>
      <c r="Q4" s="13"/>
      <c r="R4" s="13" t="s">
        <v>4</v>
      </c>
      <c r="S4" s="14" t="s">
        <v>5</v>
      </c>
      <c r="T4" s="14" t="s">
        <v>6</v>
      </c>
      <c r="U4" s="4"/>
    </row>
    <row r="5" spans="1:379" ht="18" customHeight="1" thickBot="1" x14ac:dyDescent="0.35">
      <c r="A5" s="71"/>
      <c r="B5" s="20" t="s">
        <v>7</v>
      </c>
      <c r="C5" s="21" t="s">
        <v>8</v>
      </c>
      <c r="D5" s="22" t="s">
        <v>9</v>
      </c>
      <c r="E5" s="27" t="s">
        <v>7</v>
      </c>
      <c r="F5" s="27" t="s">
        <v>8</v>
      </c>
      <c r="G5" s="28" t="s">
        <v>18</v>
      </c>
      <c r="H5" s="29" t="s">
        <v>7</v>
      </c>
      <c r="I5" s="28" t="s">
        <v>8</v>
      </c>
      <c r="J5" s="27" t="s">
        <v>9</v>
      </c>
      <c r="K5" s="23" t="s">
        <v>7</v>
      </c>
      <c r="L5" s="21" t="s">
        <v>8</v>
      </c>
      <c r="M5" s="24" t="s">
        <v>9</v>
      </c>
      <c r="N5" s="30" t="s">
        <v>10</v>
      </c>
      <c r="O5" s="31" t="s">
        <v>7</v>
      </c>
      <c r="P5" s="31" t="s">
        <v>8</v>
      </c>
      <c r="Q5" s="31" t="s">
        <v>9</v>
      </c>
      <c r="R5" s="32" t="s">
        <v>11</v>
      </c>
      <c r="S5" s="33" t="s">
        <v>12</v>
      </c>
      <c r="T5" s="33">
        <v>0.16</v>
      </c>
      <c r="U5" s="4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</row>
    <row r="6" spans="1:379" s="5" customFormat="1" ht="18" customHeight="1" x14ac:dyDescent="0.25">
      <c r="A6" s="34">
        <v>43101</v>
      </c>
      <c r="B6" s="35">
        <f>124+3408+4454</f>
        <v>7986</v>
      </c>
      <c r="C6" s="35">
        <f>25+780+899</f>
        <v>1704</v>
      </c>
      <c r="D6" s="36">
        <f>0+48+255</f>
        <v>303</v>
      </c>
      <c r="E6" s="37">
        <v>16.2</v>
      </c>
      <c r="F6" s="35">
        <v>18.149999999999999</v>
      </c>
      <c r="G6" s="35">
        <v>17.399999999999999</v>
      </c>
      <c r="H6" s="38">
        <v>13.616206999999999</v>
      </c>
      <c r="I6" s="38">
        <v>15.220345</v>
      </c>
      <c r="J6" s="38">
        <v>14.710086</v>
      </c>
      <c r="K6" s="39">
        <f t="shared" ref="K6:M8" si="2">B6*H6</f>
        <v>108739.029102</v>
      </c>
      <c r="L6" s="39">
        <f t="shared" si="2"/>
        <v>25935.46788</v>
      </c>
      <c r="M6" s="39">
        <f t="shared" si="2"/>
        <v>4457.1560580000005</v>
      </c>
      <c r="N6" s="63">
        <f>0+258.62+224.13</f>
        <v>482.75</v>
      </c>
      <c r="O6" s="39">
        <f>B6*0.4052</f>
        <v>3235.9272000000001</v>
      </c>
      <c r="P6" s="39">
        <f>C6*0.4944</f>
        <v>842.45759999999996</v>
      </c>
      <c r="Q6" s="39">
        <f>D6*0.3363</f>
        <v>101.8989</v>
      </c>
      <c r="R6" s="39">
        <f>O6+P6+Q6</f>
        <v>4180.2837</v>
      </c>
      <c r="S6" s="63">
        <f>SUM(K6+L6+M6+N6)</f>
        <v>139614.40304</v>
      </c>
      <c r="T6" s="40">
        <f t="shared" ref="T6:T13" si="3">S6*16%</f>
        <v>22338.3044864</v>
      </c>
      <c r="U6" s="4"/>
    </row>
    <row r="7" spans="1:379" s="5" customFormat="1" ht="18" customHeight="1" x14ac:dyDescent="0.25">
      <c r="A7" s="26">
        <v>43102</v>
      </c>
      <c r="B7" s="2">
        <f>365+4533+4563</f>
        <v>9461</v>
      </c>
      <c r="C7" s="2">
        <f>98+764+825</f>
        <v>1687</v>
      </c>
      <c r="D7" s="3">
        <f>0+146+1580</f>
        <v>1726</v>
      </c>
      <c r="E7" s="15">
        <v>16.2</v>
      </c>
      <c r="F7" s="2">
        <v>18.149999999999999</v>
      </c>
      <c r="G7" s="2">
        <v>17.399999999999999</v>
      </c>
      <c r="H7" s="16">
        <v>13.616206999999999</v>
      </c>
      <c r="I7" s="16">
        <v>15.220345</v>
      </c>
      <c r="J7" s="16">
        <v>14.710086</v>
      </c>
      <c r="K7" s="25">
        <f t="shared" ref="K7" si="4">B7*H7</f>
        <v>128822.934427</v>
      </c>
      <c r="L7" s="25">
        <f t="shared" ref="L7" si="5">C7*I7</f>
        <v>25676.722014999999</v>
      </c>
      <c r="M7" s="25">
        <f t="shared" ref="M7" si="6">D7*J7</f>
        <v>25389.608436000002</v>
      </c>
      <c r="N7" s="49">
        <f>0+344.82+155.17</f>
        <v>499.99</v>
      </c>
      <c r="O7" s="25">
        <f t="shared" ref="O7:O41" si="7">B7*0.4052</f>
        <v>3833.5972000000002</v>
      </c>
      <c r="P7" s="25">
        <f t="shared" ref="P7:P41" si="8">C7*0.4944</f>
        <v>834.05280000000005</v>
      </c>
      <c r="Q7" s="25">
        <f t="shared" ref="Q7:Q41" si="9">D7*0.3363</f>
        <v>580.4538</v>
      </c>
      <c r="R7" s="25">
        <f t="shared" ref="R7" si="10">O7+P7+Q7</f>
        <v>5248.1038000000008</v>
      </c>
      <c r="S7" s="49">
        <f t="shared" ref="S7" si="11">SUM(K7+L7+M7+N7)</f>
        <v>180389.25487800001</v>
      </c>
      <c r="T7" s="19">
        <f t="shared" ref="T7" si="12">S7*16%</f>
        <v>28862.280780480003</v>
      </c>
      <c r="U7" s="4"/>
    </row>
    <row r="8" spans="1:379" s="5" customFormat="1" ht="18" customHeight="1" x14ac:dyDescent="0.25">
      <c r="A8" s="26">
        <v>43103</v>
      </c>
      <c r="B8" s="2">
        <f>528+3759</f>
        <v>4287</v>
      </c>
      <c r="C8" s="2">
        <f>86+507</f>
        <v>593</v>
      </c>
      <c r="D8" s="3">
        <f>0+66</f>
        <v>66</v>
      </c>
      <c r="E8" s="15">
        <v>16.2</v>
      </c>
      <c r="F8" s="2">
        <v>18.149999999999999</v>
      </c>
      <c r="G8" s="2">
        <v>17.399999999999999</v>
      </c>
      <c r="H8" s="16">
        <v>13.616206999999999</v>
      </c>
      <c r="I8" s="16">
        <v>15.220345</v>
      </c>
      <c r="J8" s="16">
        <v>14.710086</v>
      </c>
      <c r="K8" s="25">
        <f t="shared" si="2"/>
        <v>58372.679408999997</v>
      </c>
      <c r="L8" s="25">
        <f t="shared" si="2"/>
        <v>9025.6645850000004</v>
      </c>
      <c r="M8" s="25">
        <f t="shared" si="2"/>
        <v>970.86567600000001</v>
      </c>
      <c r="N8" s="49">
        <f>0+0</f>
        <v>0</v>
      </c>
      <c r="O8" s="25">
        <f t="shared" si="7"/>
        <v>1737.0924</v>
      </c>
      <c r="P8" s="25">
        <f t="shared" si="8"/>
        <v>293.17919999999998</v>
      </c>
      <c r="Q8" s="25">
        <f t="shared" si="9"/>
        <v>22.195799999999998</v>
      </c>
      <c r="R8" s="25">
        <f t="shared" ref="R8:R13" si="13">O8+P8+Q8</f>
        <v>2052.4674</v>
      </c>
      <c r="S8" s="49">
        <f t="shared" ref="S8:S13" si="14">SUM(K8+L8+M8+N8)</f>
        <v>68369.209669999997</v>
      </c>
      <c r="T8" s="19">
        <f t="shared" si="3"/>
        <v>10939.0735472</v>
      </c>
      <c r="U8" s="4"/>
    </row>
    <row r="9" spans="1:379" s="5" customFormat="1" ht="18" customHeight="1" x14ac:dyDescent="0.3">
      <c r="A9" s="41">
        <v>43103</v>
      </c>
      <c r="B9" s="2">
        <v>4178</v>
      </c>
      <c r="C9" s="2">
        <v>946</v>
      </c>
      <c r="D9" s="3">
        <v>1232</v>
      </c>
      <c r="E9" s="42">
        <v>16.62</v>
      </c>
      <c r="F9" s="43">
        <v>18.25</v>
      </c>
      <c r="G9" s="43">
        <v>17.5</v>
      </c>
      <c r="H9" s="44">
        <v>13.978275999999999</v>
      </c>
      <c r="I9" s="44">
        <v>15.306552</v>
      </c>
      <c r="J9" s="44">
        <v>14.796293</v>
      </c>
      <c r="K9" s="25">
        <f t="shared" ref="K9" si="15">B9*H9</f>
        <v>58401.237127999993</v>
      </c>
      <c r="L9" s="25">
        <f t="shared" ref="L9" si="16">C9*I9</f>
        <v>14479.998191999999</v>
      </c>
      <c r="M9" s="25">
        <f t="shared" ref="M9" si="17">D9*J9</f>
        <v>18229.032976000002</v>
      </c>
      <c r="N9" s="49">
        <v>68.97</v>
      </c>
      <c r="O9" s="25">
        <f t="shared" ref="O9" si="18">B9*0.4052</f>
        <v>1692.9256</v>
      </c>
      <c r="P9" s="25">
        <f t="shared" ref="P9" si="19">C9*0.4944</f>
        <v>467.70240000000001</v>
      </c>
      <c r="Q9" s="25">
        <f t="shared" ref="Q9" si="20">D9*0.3363</f>
        <v>414.32159999999999</v>
      </c>
      <c r="R9" s="25">
        <f t="shared" ref="R9" si="21">O9+P9+Q9</f>
        <v>2574.9495999999999</v>
      </c>
      <c r="S9" s="49">
        <f t="shared" ref="S9" si="22">SUM(K9+L9+M9+N9)</f>
        <v>91179.238295999996</v>
      </c>
      <c r="T9" s="19">
        <f t="shared" ref="T9" si="23">S9*16%</f>
        <v>14588.678127359999</v>
      </c>
      <c r="U9" s="4"/>
    </row>
    <row r="10" spans="1:379" s="5" customFormat="1" ht="18" customHeight="1" x14ac:dyDescent="0.25">
      <c r="A10" s="26">
        <v>43104</v>
      </c>
      <c r="B10" s="2">
        <f>392+3857.9+5150</f>
        <v>9399.9</v>
      </c>
      <c r="C10" s="2">
        <f>22+729.95+712</f>
        <v>1463.95</v>
      </c>
      <c r="D10" s="3">
        <f>0+561+355</f>
        <v>916</v>
      </c>
      <c r="E10" s="15">
        <v>16.62</v>
      </c>
      <c r="F10" s="2">
        <v>18.25</v>
      </c>
      <c r="G10" s="2">
        <v>17.5</v>
      </c>
      <c r="H10" s="16">
        <v>13.978275999999999</v>
      </c>
      <c r="I10" s="16">
        <v>15.306552</v>
      </c>
      <c r="J10" s="16">
        <v>14.796293</v>
      </c>
      <c r="K10" s="25">
        <f t="shared" ref="K10" si="24">B10*H10</f>
        <v>131394.3965724</v>
      </c>
      <c r="L10" s="25">
        <f t="shared" ref="L10" si="25">C10*I10</f>
        <v>22408.026800399999</v>
      </c>
      <c r="M10" s="25">
        <f t="shared" ref="M10" si="26">D10*J10</f>
        <v>13553.404388000001</v>
      </c>
      <c r="N10" s="49">
        <f>0+0+142.24</f>
        <v>142.24</v>
      </c>
      <c r="O10" s="25">
        <f t="shared" si="7"/>
        <v>3808.8394800000001</v>
      </c>
      <c r="P10" s="25">
        <f t="shared" si="8"/>
        <v>723.77688000000001</v>
      </c>
      <c r="Q10" s="25">
        <f t="shared" si="9"/>
        <v>308.05079999999998</v>
      </c>
      <c r="R10" s="25">
        <f t="shared" si="13"/>
        <v>4840.66716</v>
      </c>
      <c r="S10" s="49">
        <f t="shared" si="14"/>
        <v>167498.06776079998</v>
      </c>
      <c r="T10" s="19">
        <f t="shared" si="3"/>
        <v>26799.690841727999</v>
      </c>
      <c r="U10" s="4"/>
    </row>
    <row r="11" spans="1:379" s="5" customFormat="1" ht="18" customHeight="1" x14ac:dyDescent="0.25">
      <c r="A11" s="26">
        <v>43105</v>
      </c>
      <c r="B11" s="2">
        <f>672+5540+4268</f>
        <v>10480</v>
      </c>
      <c r="C11" s="2">
        <f>75+772+558</f>
        <v>1405</v>
      </c>
      <c r="D11" s="3">
        <f>0+354+200</f>
        <v>554</v>
      </c>
      <c r="E11" s="15">
        <v>16.62</v>
      </c>
      <c r="F11" s="2">
        <v>18.25</v>
      </c>
      <c r="G11" s="2">
        <v>17.5</v>
      </c>
      <c r="H11" s="16">
        <v>13.978275999999999</v>
      </c>
      <c r="I11" s="16">
        <v>15.306552</v>
      </c>
      <c r="J11" s="16">
        <v>14.796293</v>
      </c>
      <c r="K11" s="25">
        <f t="shared" ref="K11" si="27">B11*H11</f>
        <v>146492.33247999998</v>
      </c>
      <c r="L11" s="25">
        <f t="shared" ref="L11" si="28">C11*I11</f>
        <v>21505.705559999999</v>
      </c>
      <c r="M11" s="25">
        <f t="shared" ref="M11" si="29">D11*J11</f>
        <v>8197.1463220000005</v>
      </c>
      <c r="N11" s="49">
        <f>0+172.41+0</f>
        <v>172.41</v>
      </c>
      <c r="O11" s="25">
        <f t="shared" si="7"/>
        <v>4246.4960000000001</v>
      </c>
      <c r="P11" s="25">
        <f t="shared" si="8"/>
        <v>694.63200000000006</v>
      </c>
      <c r="Q11" s="25">
        <f t="shared" si="9"/>
        <v>186.31019999999998</v>
      </c>
      <c r="R11" s="25">
        <f t="shared" si="13"/>
        <v>5127.4382000000005</v>
      </c>
      <c r="S11" s="49">
        <f t="shared" si="14"/>
        <v>176367.59436199997</v>
      </c>
      <c r="T11" s="19">
        <f t="shared" si="3"/>
        <v>28218.815097919996</v>
      </c>
      <c r="U11" s="4"/>
    </row>
    <row r="12" spans="1:379" s="5" customFormat="1" ht="18" customHeight="1" x14ac:dyDescent="0.25">
      <c r="A12" s="26">
        <v>43106</v>
      </c>
      <c r="B12" s="2">
        <f>923+4898+5400</f>
        <v>11221</v>
      </c>
      <c r="C12" s="2">
        <f>94+823+1077</f>
        <v>1994</v>
      </c>
      <c r="D12" s="3">
        <f>750+1114+108</f>
        <v>1972</v>
      </c>
      <c r="E12" s="15">
        <v>16.62</v>
      </c>
      <c r="F12" s="2">
        <v>18.25</v>
      </c>
      <c r="G12" s="2">
        <v>17.5</v>
      </c>
      <c r="H12" s="16">
        <v>13.978275999999999</v>
      </c>
      <c r="I12" s="16">
        <v>15.306552</v>
      </c>
      <c r="J12" s="16">
        <v>14.796293</v>
      </c>
      <c r="K12" s="25">
        <f t="shared" ref="K12" si="30">B12*H12</f>
        <v>156850.23499599998</v>
      </c>
      <c r="L12" s="25">
        <f t="shared" ref="L12" si="31">C12*I12</f>
        <v>30521.264687999999</v>
      </c>
      <c r="M12" s="25">
        <f t="shared" ref="M12" si="32">D12*J12</f>
        <v>29178.289796000001</v>
      </c>
      <c r="N12" s="49">
        <f>0+383.62+142.24</f>
        <v>525.86</v>
      </c>
      <c r="O12" s="25">
        <f t="shared" si="7"/>
        <v>4546.7492000000002</v>
      </c>
      <c r="P12" s="25">
        <f t="shared" si="8"/>
        <v>985.83360000000005</v>
      </c>
      <c r="Q12" s="25">
        <f t="shared" si="9"/>
        <v>663.18359999999996</v>
      </c>
      <c r="R12" s="25">
        <f t="shared" si="13"/>
        <v>6195.7664000000004</v>
      </c>
      <c r="S12" s="49">
        <f t="shared" si="14"/>
        <v>217075.64947999996</v>
      </c>
      <c r="T12" s="19">
        <f t="shared" si="3"/>
        <v>34732.103916799992</v>
      </c>
      <c r="U12" s="4"/>
    </row>
    <row r="13" spans="1:379" s="5" customFormat="1" ht="18" customHeight="1" x14ac:dyDescent="0.25">
      <c r="A13" s="26">
        <v>43107</v>
      </c>
      <c r="B13" s="2">
        <f>620+4021+5122</f>
        <v>9763</v>
      </c>
      <c r="C13" s="2">
        <f>85+841+809</f>
        <v>1735</v>
      </c>
      <c r="D13" s="3">
        <f>0+887+103</f>
        <v>990</v>
      </c>
      <c r="E13" s="15">
        <v>16.62</v>
      </c>
      <c r="F13" s="2">
        <v>18.25</v>
      </c>
      <c r="G13" s="2">
        <v>17.5</v>
      </c>
      <c r="H13" s="16">
        <v>13.978275999999999</v>
      </c>
      <c r="I13" s="16">
        <v>15.306552</v>
      </c>
      <c r="J13" s="16">
        <v>14.796293</v>
      </c>
      <c r="K13" s="25">
        <f t="shared" ref="K13" si="33">B13*H13</f>
        <v>136469.90858799999</v>
      </c>
      <c r="L13" s="25">
        <f t="shared" ref="L13" si="34">C13*I13</f>
        <v>26556.867719999998</v>
      </c>
      <c r="M13" s="25">
        <f t="shared" ref="M13" si="35">D13*J13</f>
        <v>14648.33007</v>
      </c>
      <c r="N13" s="49">
        <f>0+68.97+0</f>
        <v>68.97</v>
      </c>
      <c r="O13" s="25">
        <f t="shared" si="7"/>
        <v>3955.9675999999999</v>
      </c>
      <c r="P13" s="25">
        <f t="shared" si="8"/>
        <v>857.78399999999999</v>
      </c>
      <c r="Q13" s="25">
        <f t="shared" si="9"/>
        <v>332.93700000000001</v>
      </c>
      <c r="R13" s="25">
        <f t="shared" si="13"/>
        <v>5146.6885999999995</v>
      </c>
      <c r="S13" s="49">
        <f t="shared" si="14"/>
        <v>177744.076378</v>
      </c>
      <c r="T13" s="19">
        <f t="shared" si="3"/>
        <v>28439.05222048</v>
      </c>
      <c r="U13" s="4"/>
    </row>
    <row r="14" spans="1:379" s="5" customFormat="1" ht="18" customHeight="1" x14ac:dyDescent="0.25">
      <c r="A14" s="26">
        <v>43108</v>
      </c>
      <c r="B14" s="2">
        <f>631+4930+4536</f>
        <v>10097</v>
      </c>
      <c r="C14" s="2">
        <f>64+549+621</f>
        <v>1234</v>
      </c>
      <c r="D14" s="3">
        <f>0+799+381</f>
        <v>1180</v>
      </c>
      <c r="E14" s="15">
        <v>16.62</v>
      </c>
      <c r="F14" s="2">
        <v>18.25</v>
      </c>
      <c r="G14" s="2">
        <v>17.5</v>
      </c>
      <c r="H14" s="16">
        <v>13.978275999999999</v>
      </c>
      <c r="I14" s="16">
        <v>15.306552</v>
      </c>
      <c r="J14" s="16">
        <v>14.796293</v>
      </c>
      <c r="K14" s="25">
        <f t="shared" ref="K14:K35" si="36">B14*H14</f>
        <v>141138.652772</v>
      </c>
      <c r="L14" s="25">
        <f t="shared" ref="L14:L35" si="37">C14*I14</f>
        <v>18888.285167999999</v>
      </c>
      <c r="M14" s="25">
        <f t="shared" ref="M14:M35" si="38">D14*J14</f>
        <v>17459.625739999999</v>
      </c>
      <c r="N14" s="49">
        <f>0+0+68.97</f>
        <v>68.97</v>
      </c>
      <c r="O14" s="25">
        <f t="shared" si="7"/>
        <v>4091.3044</v>
      </c>
      <c r="P14" s="25">
        <f t="shared" si="8"/>
        <v>610.08960000000002</v>
      </c>
      <c r="Q14" s="25">
        <f t="shared" si="9"/>
        <v>396.834</v>
      </c>
      <c r="R14" s="25">
        <f t="shared" ref="R14:R35" si="39">O14+P14+Q14</f>
        <v>5098.2280000000001</v>
      </c>
      <c r="S14" s="49">
        <f t="shared" ref="S14:S35" si="40">SUM(K14+L14+M14+N14)</f>
        <v>177555.53367999999</v>
      </c>
      <c r="T14" s="19">
        <f t="shared" ref="T14:T35" si="41">S14*16%</f>
        <v>28408.885388800001</v>
      </c>
    </row>
    <row r="15" spans="1:379" s="5" customFormat="1" ht="18" customHeight="1" x14ac:dyDescent="0.25">
      <c r="A15" s="26">
        <v>43109</v>
      </c>
      <c r="B15" s="2">
        <f>298+3533.6</f>
        <v>3831.6</v>
      </c>
      <c r="C15" s="2">
        <f>94+506</f>
        <v>600</v>
      </c>
      <c r="D15" s="3">
        <f>0+1028</f>
        <v>1028</v>
      </c>
      <c r="E15" s="15">
        <v>16.62</v>
      </c>
      <c r="F15" s="2">
        <v>18.25</v>
      </c>
      <c r="G15" s="2">
        <v>17.5</v>
      </c>
      <c r="H15" s="16">
        <v>13.978275999999999</v>
      </c>
      <c r="I15" s="16">
        <v>15.306552</v>
      </c>
      <c r="J15" s="16">
        <v>14.796293</v>
      </c>
      <c r="K15" s="25">
        <f t="shared" ref="K15" si="42">B15*H15</f>
        <v>53559.162321599993</v>
      </c>
      <c r="L15" s="25">
        <f t="shared" ref="L15" si="43">C15*I15</f>
        <v>9183.9311999999991</v>
      </c>
      <c r="M15" s="25">
        <f t="shared" ref="M15" si="44">D15*J15</f>
        <v>15210.589204</v>
      </c>
      <c r="N15" s="49">
        <f>0+0</f>
        <v>0</v>
      </c>
      <c r="O15" s="25">
        <f t="shared" ref="O15" si="45">B15*0.4052</f>
        <v>1552.56432</v>
      </c>
      <c r="P15" s="25">
        <f t="shared" ref="P15" si="46">C15*0.4944</f>
        <v>296.64</v>
      </c>
      <c r="Q15" s="25">
        <f t="shared" ref="Q15" si="47">D15*0.3363</f>
        <v>345.71639999999996</v>
      </c>
      <c r="R15" s="25">
        <f t="shared" ref="R15" si="48">O15+P15+Q15</f>
        <v>2194.9207199999996</v>
      </c>
      <c r="S15" s="49">
        <f t="shared" ref="S15" si="49">SUM(K15+L15+M15+N15)</f>
        <v>77953.682725599996</v>
      </c>
      <c r="T15" s="19">
        <f t="shared" ref="T15" si="50">S15*16%</f>
        <v>12472.589236095999</v>
      </c>
    </row>
    <row r="16" spans="1:379" s="5" customFormat="1" ht="18" customHeight="1" x14ac:dyDescent="0.3">
      <c r="A16" s="41">
        <v>43109</v>
      </c>
      <c r="B16" s="2">
        <v>3046.2</v>
      </c>
      <c r="C16" s="2">
        <v>499</v>
      </c>
      <c r="D16" s="3">
        <v>359</v>
      </c>
      <c r="E16" s="42">
        <v>16.79</v>
      </c>
      <c r="F16" s="43">
        <v>18.39</v>
      </c>
      <c r="G16" s="43">
        <v>17.59</v>
      </c>
      <c r="H16" s="44">
        <v>14.124828000000001</v>
      </c>
      <c r="I16" s="44">
        <v>15.427241</v>
      </c>
      <c r="J16" s="44">
        <v>14.873879000000001</v>
      </c>
      <c r="K16" s="25">
        <f t="shared" ref="K16:K18" si="51">B16*H16</f>
        <v>43027.0510536</v>
      </c>
      <c r="L16" s="25">
        <f t="shared" ref="L16:L18" si="52">C16*I16</f>
        <v>7698.1932590000006</v>
      </c>
      <c r="M16" s="25">
        <f t="shared" ref="M16:M18" si="53">D16*J16</f>
        <v>5339.7225610000005</v>
      </c>
      <c r="N16" s="49">
        <v>0</v>
      </c>
      <c r="O16" s="25">
        <f t="shared" si="7"/>
        <v>1234.32024</v>
      </c>
      <c r="P16" s="25">
        <f t="shared" si="8"/>
        <v>246.7056</v>
      </c>
      <c r="Q16" s="25">
        <f t="shared" si="9"/>
        <v>120.73169999999999</v>
      </c>
      <c r="R16" s="25">
        <f t="shared" ref="R16" si="54">O16+P16+Q16</f>
        <v>1601.7575400000001</v>
      </c>
      <c r="S16" s="49">
        <f t="shared" ref="S16" si="55">SUM(K16+L16+M16+N16)</f>
        <v>56064.966873600002</v>
      </c>
      <c r="T16" s="19">
        <f t="shared" ref="T16" si="56">S16*16%</f>
        <v>8970.3946997760013</v>
      </c>
      <c r="V16" s="9"/>
      <c r="W16" s="8"/>
      <c r="X16" s="8"/>
      <c r="Y16" s="8"/>
      <c r="Z16" s="8"/>
      <c r="AA16" s="8"/>
      <c r="AB16" s="8"/>
    </row>
    <row r="17" spans="1:28" s="5" customFormat="1" ht="18" customHeight="1" x14ac:dyDescent="0.25">
      <c r="A17" s="26">
        <v>43110</v>
      </c>
      <c r="B17" s="2">
        <f>248+3439.08+4274</f>
        <v>7961.08</v>
      </c>
      <c r="C17" s="2">
        <f>75+716.16+555</f>
        <v>1346.1599999999999</v>
      </c>
      <c r="D17" s="3">
        <f>0+700+29</f>
        <v>729</v>
      </c>
      <c r="E17" s="15">
        <v>16.79</v>
      </c>
      <c r="F17" s="2">
        <v>18.39</v>
      </c>
      <c r="G17" s="2">
        <v>17.59</v>
      </c>
      <c r="H17" s="16">
        <v>14.124828000000001</v>
      </c>
      <c r="I17" s="16">
        <v>15.427241</v>
      </c>
      <c r="J17" s="16">
        <v>14.873879000000001</v>
      </c>
      <c r="K17" s="25">
        <f t="shared" ref="K17" si="57">B17*H17</f>
        <v>112448.88569424</v>
      </c>
      <c r="L17" s="25">
        <f t="shared" ref="L17" si="58">C17*I17</f>
        <v>20767.534744559998</v>
      </c>
      <c r="M17" s="25">
        <f t="shared" ref="M17" si="59">D17*J17</f>
        <v>10843.057791000001</v>
      </c>
      <c r="N17" s="49">
        <f>0+344.82+431.03</f>
        <v>775.84999999999991</v>
      </c>
      <c r="O17" s="25">
        <f t="shared" si="7"/>
        <v>3225.829616</v>
      </c>
      <c r="P17" s="25">
        <f t="shared" si="8"/>
        <v>665.54150399999992</v>
      </c>
      <c r="Q17" s="25">
        <f t="shared" si="9"/>
        <v>245.1627</v>
      </c>
      <c r="R17" s="25">
        <f t="shared" ref="R17" si="60">O17+P17+Q17</f>
        <v>4136.5338199999997</v>
      </c>
      <c r="S17" s="49">
        <f t="shared" ref="S17" si="61">SUM(K17+L17+M17+N17)</f>
        <v>144835.32822980001</v>
      </c>
      <c r="T17" s="19">
        <f t="shared" ref="T17" si="62">S17*16%</f>
        <v>23173.652516768001</v>
      </c>
      <c r="V17" s="9"/>
      <c r="W17" s="8"/>
      <c r="X17" s="8"/>
      <c r="Y17" s="8"/>
      <c r="Z17" s="8"/>
      <c r="AA17" s="8"/>
      <c r="AB17" s="8"/>
    </row>
    <row r="18" spans="1:28" s="5" customFormat="1" ht="18" customHeight="1" x14ac:dyDescent="0.25">
      <c r="A18" s="26">
        <v>43111</v>
      </c>
      <c r="B18" s="2">
        <f>585+4193+4897</f>
        <v>9675</v>
      </c>
      <c r="C18" s="2">
        <f>147+807+1134</f>
        <v>2088</v>
      </c>
      <c r="D18" s="3">
        <f>0+767+521</f>
        <v>1288</v>
      </c>
      <c r="E18" s="15">
        <v>16.79</v>
      </c>
      <c r="F18" s="2">
        <v>18.39</v>
      </c>
      <c r="G18" s="2">
        <v>17.59</v>
      </c>
      <c r="H18" s="16">
        <v>14.124828000000001</v>
      </c>
      <c r="I18" s="16">
        <v>15.427241</v>
      </c>
      <c r="J18" s="16">
        <v>14.873879000000001</v>
      </c>
      <c r="K18" s="25">
        <f t="shared" si="51"/>
        <v>136657.71090000001</v>
      </c>
      <c r="L18" s="25">
        <f t="shared" si="52"/>
        <v>32212.079207999999</v>
      </c>
      <c r="M18" s="25">
        <f t="shared" si="53"/>
        <v>19157.556152000001</v>
      </c>
      <c r="N18" s="49">
        <f>68.96+379.31+86.21</f>
        <v>534.48</v>
      </c>
      <c r="O18" s="25">
        <f t="shared" si="7"/>
        <v>3920.31</v>
      </c>
      <c r="P18" s="25">
        <f t="shared" si="8"/>
        <v>1032.3072</v>
      </c>
      <c r="Q18" s="25">
        <f t="shared" si="9"/>
        <v>433.15440000000001</v>
      </c>
      <c r="R18" s="25">
        <f t="shared" ref="R18" si="63">O18+P18+Q18</f>
        <v>5385.7716</v>
      </c>
      <c r="S18" s="49">
        <f t="shared" ref="S18" si="64">SUM(K18+L18+M18+N18)</f>
        <v>188561.82626000003</v>
      </c>
      <c r="T18" s="19">
        <f t="shared" ref="T18" si="65">S18*16%</f>
        <v>30169.892201600007</v>
      </c>
      <c r="V18" s="9"/>
      <c r="W18" s="8"/>
      <c r="X18" s="8"/>
      <c r="Y18" s="8"/>
      <c r="Z18" s="8"/>
      <c r="AA18" s="8"/>
      <c r="AB18" s="8"/>
    </row>
    <row r="19" spans="1:28" s="5" customFormat="1" ht="18" customHeight="1" x14ac:dyDescent="0.25">
      <c r="A19" s="26">
        <v>43112</v>
      </c>
      <c r="B19" s="2">
        <f>785+6179</f>
        <v>6964</v>
      </c>
      <c r="C19" s="2">
        <f>74+910</f>
        <v>984</v>
      </c>
      <c r="D19" s="3">
        <f>0+326</f>
        <v>326</v>
      </c>
      <c r="E19" s="15">
        <v>16.79</v>
      </c>
      <c r="F19" s="2">
        <v>18.39</v>
      </c>
      <c r="G19" s="2">
        <v>17.59</v>
      </c>
      <c r="H19" s="16">
        <v>14.124828000000001</v>
      </c>
      <c r="I19" s="16">
        <v>15.427241</v>
      </c>
      <c r="J19" s="16">
        <v>14.873879000000001</v>
      </c>
      <c r="K19" s="25">
        <f t="shared" ref="K19" si="66">B19*H19</f>
        <v>98365.302192000003</v>
      </c>
      <c r="L19" s="25">
        <f t="shared" ref="L19" si="67">C19*I19</f>
        <v>15180.405144</v>
      </c>
      <c r="M19" s="25">
        <f t="shared" ref="M19" si="68">D19*J19</f>
        <v>4848.8845540000002</v>
      </c>
      <c r="N19" s="49">
        <f>0+224.14</f>
        <v>224.14</v>
      </c>
      <c r="O19" s="25">
        <f t="shared" ref="O19" si="69">B19*0.4052</f>
        <v>2821.8128000000002</v>
      </c>
      <c r="P19" s="25">
        <f t="shared" ref="P19" si="70">C19*0.4944</f>
        <v>486.4896</v>
      </c>
      <c r="Q19" s="25">
        <f t="shared" ref="Q19" si="71">D19*0.3363</f>
        <v>109.63379999999999</v>
      </c>
      <c r="R19" s="25">
        <f t="shared" ref="R19" si="72">O19+P19+Q19</f>
        <v>3417.9362000000001</v>
      </c>
      <c r="S19" s="49">
        <f t="shared" ref="S19" si="73">SUM(K19+L19+M19+N19)</f>
        <v>118618.73189000001</v>
      </c>
      <c r="T19" s="19">
        <f t="shared" ref="T19" si="74">S19*16%</f>
        <v>18978.997102400001</v>
      </c>
      <c r="V19" s="9"/>
      <c r="W19" s="8"/>
      <c r="X19" s="8"/>
      <c r="Y19" s="8"/>
      <c r="Z19" s="8"/>
      <c r="AA19" s="8"/>
      <c r="AB19" s="8"/>
    </row>
    <row r="20" spans="1:28" s="5" customFormat="1" ht="18" customHeight="1" x14ac:dyDescent="0.3">
      <c r="A20" s="41">
        <v>43112</v>
      </c>
      <c r="B20" s="2">
        <v>3957</v>
      </c>
      <c r="C20" s="2">
        <v>1212</v>
      </c>
      <c r="D20" s="3">
        <v>648</v>
      </c>
      <c r="E20" s="42">
        <v>16.850000000000001</v>
      </c>
      <c r="F20" s="43">
        <v>18.55</v>
      </c>
      <c r="G20" s="43">
        <v>17.75</v>
      </c>
      <c r="H20" s="44">
        <v>14.176551999999999</v>
      </c>
      <c r="I20" s="44">
        <v>15.565172</v>
      </c>
      <c r="J20" s="44">
        <v>15.011810000000001</v>
      </c>
      <c r="K20" s="25">
        <f t="shared" ref="K20:K21" si="75">B20*H20</f>
        <v>56096.616263999997</v>
      </c>
      <c r="L20" s="25">
        <f t="shared" ref="L20:M24" si="76">C20*I20</f>
        <v>18864.988464000002</v>
      </c>
      <c r="M20" s="25">
        <f t="shared" ref="M20:M22" si="77">D20*J20</f>
        <v>9727.6528799999996</v>
      </c>
      <c r="N20" s="49">
        <v>258.62</v>
      </c>
      <c r="O20" s="25">
        <f t="shared" ref="O20:O24" si="78">B20*0.4052</f>
        <v>1603.3764000000001</v>
      </c>
      <c r="P20" s="25">
        <f t="shared" ref="P20:P24" si="79">C20*0.4944</f>
        <v>599.21280000000002</v>
      </c>
      <c r="Q20" s="25">
        <f t="shared" ref="Q20:Q24" si="80">D20*0.3363</f>
        <v>217.92239999999998</v>
      </c>
      <c r="R20" s="25">
        <f t="shared" ref="R20:R24" si="81">O20+P20+Q20</f>
        <v>2420.5116000000003</v>
      </c>
      <c r="S20" s="49">
        <f t="shared" ref="S20:S24" si="82">SUM(K20+L20+M20+N20)</f>
        <v>84947.877607999995</v>
      </c>
      <c r="T20" s="19">
        <f t="shared" ref="T20:T24" si="83">S20*16%</f>
        <v>13591.66041728</v>
      </c>
      <c r="V20" s="9"/>
      <c r="W20" s="8"/>
      <c r="X20" s="8"/>
      <c r="Y20" s="8"/>
      <c r="Z20" s="8"/>
      <c r="AA20" s="8"/>
      <c r="AB20" s="8"/>
    </row>
    <row r="21" spans="1:28" s="51" customFormat="1" ht="18" customHeight="1" x14ac:dyDescent="0.25">
      <c r="A21" s="52">
        <v>43113</v>
      </c>
      <c r="B21" s="46">
        <v>11111.33</v>
      </c>
      <c r="C21" s="46">
        <v>1721.52</v>
      </c>
      <c r="D21" s="53">
        <v>831.69</v>
      </c>
      <c r="E21" s="47">
        <v>16.850000000000001</v>
      </c>
      <c r="F21" s="46">
        <v>18.55</v>
      </c>
      <c r="G21" s="46">
        <v>17.75</v>
      </c>
      <c r="H21" s="48">
        <v>14.176551999999999</v>
      </c>
      <c r="I21" s="48">
        <v>15.565172</v>
      </c>
      <c r="J21" s="48">
        <v>15.011810000000001</v>
      </c>
      <c r="K21" s="49">
        <f t="shared" si="75"/>
        <v>157520.34753415998</v>
      </c>
      <c r="L21" s="49">
        <f t="shared" si="76"/>
        <v>26795.754901439999</v>
      </c>
      <c r="M21" s="49">
        <f t="shared" si="77"/>
        <v>12485.172258900002</v>
      </c>
      <c r="N21" s="49">
        <v>672.41</v>
      </c>
      <c r="O21" s="49">
        <f t="shared" si="78"/>
        <v>4502.3109160000004</v>
      </c>
      <c r="P21" s="49">
        <f t="shared" si="79"/>
        <v>851.11948800000005</v>
      </c>
      <c r="Q21" s="49">
        <f t="shared" si="80"/>
        <v>279.69734700000004</v>
      </c>
      <c r="R21" s="49">
        <f t="shared" si="81"/>
        <v>5633.1277510000009</v>
      </c>
      <c r="S21" s="49">
        <f t="shared" si="82"/>
        <v>197473.6846945</v>
      </c>
      <c r="T21" s="50">
        <f t="shared" si="83"/>
        <v>31595.78955112</v>
      </c>
      <c r="V21" s="54"/>
      <c r="W21" s="55"/>
      <c r="X21" s="55"/>
      <c r="Y21" s="55"/>
      <c r="Z21" s="55"/>
      <c r="AA21" s="55"/>
      <c r="AB21" s="55"/>
    </row>
    <row r="22" spans="1:28" s="5" customFormat="1" ht="18" customHeight="1" x14ac:dyDescent="0.25">
      <c r="A22" s="26">
        <v>43114</v>
      </c>
      <c r="B22" s="2">
        <v>8749.83</v>
      </c>
      <c r="C22" s="2">
        <v>1850.28</v>
      </c>
      <c r="D22" s="2">
        <v>370.91</v>
      </c>
      <c r="E22" s="15">
        <v>16.850000000000001</v>
      </c>
      <c r="F22" s="2">
        <v>18.55</v>
      </c>
      <c r="G22" s="2">
        <v>17.75</v>
      </c>
      <c r="H22" s="16">
        <v>14.176551999999999</v>
      </c>
      <c r="I22" s="16">
        <v>15.565172</v>
      </c>
      <c r="J22" s="16">
        <v>15.011810000000001</v>
      </c>
      <c r="K22" s="25">
        <f>B22*H22</f>
        <v>124042.41998615999</v>
      </c>
      <c r="L22" s="25">
        <f t="shared" si="76"/>
        <v>28799.92644816</v>
      </c>
      <c r="M22" s="25">
        <f t="shared" si="77"/>
        <v>5568.0304471000009</v>
      </c>
      <c r="N22" s="72">
        <v>86.21</v>
      </c>
      <c r="O22" s="25">
        <f t="shared" si="78"/>
        <v>3545.4311160000002</v>
      </c>
      <c r="P22" s="25">
        <f t="shared" si="79"/>
        <v>914.77843199999995</v>
      </c>
      <c r="Q22" s="25">
        <f t="shared" si="80"/>
        <v>124.73703300000001</v>
      </c>
      <c r="R22" s="25">
        <f t="shared" si="81"/>
        <v>4584.9465810000002</v>
      </c>
      <c r="S22" s="72">
        <f t="shared" si="82"/>
        <v>158496.58688141999</v>
      </c>
      <c r="T22" s="19">
        <f t="shared" si="83"/>
        <v>25359.453901027198</v>
      </c>
      <c r="V22" s="8"/>
    </row>
    <row r="23" spans="1:28" s="5" customFormat="1" ht="18" customHeight="1" x14ac:dyDescent="0.25">
      <c r="A23" s="26">
        <v>43115</v>
      </c>
      <c r="B23" s="2">
        <v>10803.53</v>
      </c>
      <c r="C23" s="2">
        <v>1817.27</v>
      </c>
      <c r="D23" s="2">
        <v>942.17</v>
      </c>
      <c r="E23" s="15">
        <v>16.850000000000001</v>
      </c>
      <c r="F23" s="2">
        <v>18.55</v>
      </c>
      <c r="G23" s="2">
        <v>17.75</v>
      </c>
      <c r="H23" s="16">
        <v>14.176551999999999</v>
      </c>
      <c r="I23" s="16">
        <v>15.565172</v>
      </c>
      <c r="J23" s="16">
        <v>15.011810000000001</v>
      </c>
      <c r="K23" s="25">
        <f>B23*H23</f>
        <v>153156.80482856001</v>
      </c>
      <c r="L23" s="25">
        <f t="shared" si="76"/>
        <v>28286.120120440002</v>
      </c>
      <c r="M23" s="25">
        <f t="shared" si="76"/>
        <v>14143.6770277</v>
      </c>
      <c r="N23" s="72">
        <v>534.48</v>
      </c>
      <c r="O23" s="25">
        <f t="shared" si="78"/>
        <v>4377.5903560000006</v>
      </c>
      <c r="P23" s="25">
        <f t="shared" si="79"/>
        <v>898.45828800000004</v>
      </c>
      <c r="Q23" s="25">
        <f t="shared" si="80"/>
        <v>316.85177099999999</v>
      </c>
      <c r="R23" s="25">
        <f t="shared" si="81"/>
        <v>5592.9004150000001</v>
      </c>
      <c r="S23" s="72">
        <f t="shared" si="82"/>
        <v>196121.08197670002</v>
      </c>
      <c r="T23" s="19">
        <f t="shared" si="83"/>
        <v>31379.373116272003</v>
      </c>
      <c r="V23" s="8"/>
    </row>
    <row r="24" spans="1:28" s="5" customFormat="1" ht="18" customHeight="1" x14ac:dyDescent="0.25">
      <c r="A24" s="26">
        <v>43116</v>
      </c>
      <c r="B24" s="2">
        <f>469.91+4205+4340.66</f>
        <v>9015.57</v>
      </c>
      <c r="C24" s="2">
        <f>37.74+610.98+861.66</f>
        <v>1510.38</v>
      </c>
      <c r="D24" s="2">
        <f>431.12+1707.6</f>
        <v>2138.7199999999998</v>
      </c>
      <c r="E24" s="15">
        <v>16.850000000000001</v>
      </c>
      <c r="F24" s="2">
        <v>18.55</v>
      </c>
      <c r="G24" s="2">
        <v>17.75</v>
      </c>
      <c r="H24" s="16">
        <v>14.176551999999999</v>
      </c>
      <c r="I24" s="16">
        <v>15.565172</v>
      </c>
      <c r="J24" s="16">
        <v>15.011810000000001</v>
      </c>
      <c r="K24" s="25">
        <f>B24*H24</f>
        <v>127809.69691463999</v>
      </c>
      <c r="L24" s="25">
        <f t="shared" si="76"/>
        <v>23509.324485360001</v>
      </c>
      <c r="M24" s="25">
        <f t="shared" si="76"/>
        <v>32106.058283199996</v>
      </c>
      <c r="N24" s="72">
        <v>172.42</v>
      </c>
      <c r="O24" s="25">
        <f t="shared" si="78"/>
        <v>3653.108964</v>
      </c>
      <c r="P24" s="25">
        <f t="shared" si="79"/>
        <v>746.73187200000007</v>
      </c>
      <c r="Q24" s="25">
        <f t="shared" si="80"/>
        <v>719.25153599999987</v>
      </c>
      <c r="R24" s="25">
        <f t="shared" si="81"/>
        <v>5119.0923720000001</v>
      </c>
      <c r="S24" s="72">
        <f t="shared" si="82"/>
        <v>183597.4996832</v>
      </c>
      <c r="T24" s="19">
        <f t="shared" si="83"/>
        <v>29375.599949312</v>
      </c>
    </row>
    <row r="25" spans="1:28" s="51" customFormat="1" ht="18" customHeight="1" x14ac:dyDescent="0.25">
      <c r="A25" s="52">
        <v>43117</v>
      </c>
      <c r="B25" s="46">
        <f>589+4013</f>
        <v>4602</v>
      </c>
      <c r="C25" s="46">
        <f>772+22</f>
        <v>794</v>
      </c>
      <c r="D25" s="46">
        <v>73</v>
      </c>
      <c r="E25" s="47">
        <v>16.850000000000001</v>
      </c>
      <c r="F25" s="46">
        <v>18.55</v>
      </c>
      <c r="G25" s="46">
        <v>17.75</v>
      </c>
      <c r="H25" s="48">
        <v>14.176551999999999</v>
      </c>
      <c r="I25" s="48">
        <v>15.565172</v>
      </c>
      <c r="J25" s="48">
        <v>15.011810000000001</v>
      </c>
      <c r="K25" s="49">
        <f t="shared" ref="K22:K27" si="84">B25*H25</f>
        <v>65240.492303999999</v>
      </c>
      <c r="L25" s="49">
        <f t="shared" ref="L25:L26" si="85">C25*I25</f>
        <v>12358.746568</v>
      </c>
      <c r="M25" s="49">
        <f t="shared" ref="M25:M26" si="86">D25*J25</f>
        <v>1095.86213</v>
      </c>
      <c r="N25" s="49">
        <v>137.93</v>
      </c>
      <c r="O25" s="49">
        <f t="shared" si="7"/>
        <v>1864.7303999999999</v>
      </c>
      <c r="P25" s="49">
        <f t="shared" si="8"/>
        <v>392.55360000000002</v>
      </c>
      <c r="Q25" s="49">
        <f t="shared" si="9"/>
        <v>24.549899999999997</v>
      </c>
      <c r="R25" s="49">
        <f t="shared" ref="R25" si="87">O25+P25+Q25</f>
        <v>2281.8339000000001</v>
      </c>
      <c r="S25" s="49">
        <f t="shared" ref="S25" si="88">SUM(K25+L25+M25+N25)</f>
        <v>78833.031001999989</v>
      </c>
      <c r="T25" s="50">
        <f t="shared" ref="T25" si="89">S25*16%</f>
        <v>12613.284960319999</v>
      </c>
    </row>
    <row r="26" spans="1:28" s="51" customFormat="1" ht="18" customHeight="1" x14ac:dyDescent="0.25">
      <c r="A26" s="56">
        <v>43117</v>
      </c>
      <c r="B26" s="46">
        <v>3864</v>
      </c>
      <c r="C26" s="46">
        <v>654</v>
      </c>
      <c r="D26" s="46">
        <v>145</v>
      </c>
      <c r="E26" s="57">
        <v>16.88</v>
      </c>
      <c r="F26" s="58">
        <v>18.7</v>
      </c>
      <c r="G26" s="58">
        <v>17.8</v>
      </c>
      <c r="H26" s="59">
        <v>14.202413999999999</v>
      </c>
      <c r="I26" s="59">
        <v>15.694483</v>
      </c>
      <c r="J26" s="59">
        <v>15.054914</v>
      </c>
      <c r="K26" s="49">
        <f t="shared" si="84"/>
        <v>54878.127695999996</v>
      </c>
      <c r="L26" s="49">
        <f t="shared" si="85"/>
        <v>10264.191881999999</v>
      </c>
      <c r="M26" s="49">
        <f t="shared" si="86"/>
        <v>2182.9625300000002</v>
      </c>
      <c r="N26" s="49">
        <v>0</v>
      </c>
      <c r="O26" s="49">
        <f t="shared" ref="O26" si="90">B26*0.4052</f>
        <v>1565.6928</v>
      </c>
      <c r="P26" s="49">
        <f t="shared" ref="P26" si="91">C26*0.4944</f>
        <v>323.33760000000001</v>
      </c>
      <c r="Q26" s="49">
        <f t="shared" ref="Q26" si="92">D26*0.3363</f>
        <v>48.763500000000001</v>
      </c>
      <c r="R26" s="49">
        <f t="shared" ref="R26" si="93">O26+P26+Q26</f>
        <v>1937.7939000000001</v>
      </c>
      <c r="S26" s="49">
        <f t="shared" ref="S26" si="94">SUM(K26+L26+M26+N26)</f>
        <v>67325.282107999999</v>
      </c>
      <c r="T26" s="50">
        <f t="shared" ref="T26" si="95">S26*16%</f>
        <v>10772.04513728</v>
      </c>
    </row>
    <row r="27" spans="1:28" s="51" customFormat="1" ht="18" customHeight="1" x14ac:dyDescent="0.25">
      <c r="A27" s="52">
        <v>43118</v>
      </c>
      <c r="B27" s="46">
        <f>692+4302.39+4111.21</f>
        <v>9105.6</v>
      </c>
      <c r="C27" s="46">
        <f>1142+46+808</f>
        <v>1996</v>
      </c>
      <c r="D27" s="46">
        <f>40+343+260.13</f>
        <v>643.13</v>
      </c>
      <c r="E27" s="47">
        <v>16.88</v>
      </c>
      <c r="F27" s="46">
        <v>18.7</v>
      </c>
      <c r="G27" s="46">
        <v>17.8</v>
      </c>
      <c r="H27" s="48">
        <v>14.202413999999999</v>
      </c>
      <c r="I27" s="49">
        <v>15.694483</v>
      </c>
      <c r="J27" s="48">
        <v>15.054914</v>
      </c>
      <c r="K27" s="49">
        <f t="shared" si="84"/>
        <v>129321.50091839999</v>
      </c>
      <c r="L27" s="49">
        <f t="shared" ref="L23:M27" si="96">C27*I27</f>
        <v>31326.188067999999</v>
      </c>
      <c r="M27" s="49">
        <f t="shared" si="96"/>
        <v>9682.2668408200007</v>
      </c>
      <c r="N27" s="49">
        <v>396.55</v>
      </c>
      <c r="O27" s="49">
        <f t="shared" si="7"/>
        <v>3689.5891200000001</v>
      </c>
      <c r="P27" s="49">
        <f t="shared" si="8"/>
        <v>986.82240000000002</v>
      </c>
      <c r="Q27" s="49">
        <f t="shared" si="9"/>
        <v>216.28461899999999</v>
      </c>
      <c r="R27" s="49">
        <f t="shared" ref="R27" si="97">O27+P27+Q27</f>
        <v>4892.6961389999997</v>
      </c>
      <c r="S27" s="49">
        <f t="shared" ref="S27" si="98">SUM(K27+L27+M27+N27)</f>
        <v>170726.50582721998</v>
      </c>
      <c r="T27" s="50">
        <f t="shared" ref="T27" si="99">S27*16%</f>
        <v>27316.240932355198</v>
      </c>
    </row>
    <row r="28" spans="1:28" s="51" customFormat="1" ht="18" customHeight="1" x14ac:dyDescent="0.25">
      <c r="A28" s="52">
        <v>43119</v>
      </c>
      <c r="B28" s="46">
        <f>664.16+4954</f>
        <v>5618.16</v>
      </c>
      <c r="C28" s="46">
        <f>716+139.66</f>
        <v>855.66</v>
      </c>
      <c r="D28" s="46">
        <v>1608</v>
      </c>
      <c r="E28" s="47">
        <v>16.88</v>
      </c>
      <c r="F28" s="46">
        <v>18.7</v>
      </c>
      <c r="G28" s="46">
        <v>17.8</v>
      </c>
      <c r="H28" s="48">
        <v>14.202413999999999</v>
      </c>
      <c r="I28" s="49">
        <v>15.694483</v>
      </c>
      <c r="J28" s="48">
        <v>15.054914</v>
      </c>
      <c r="K28" s="49">
        <f t="shared" ref="K28" si="100">B28*H28</f>
        <v>79791.434238239992</v>
      </c>
      <c r="L28" s="49">
        <f t="shared" ref="L28" si="101">C28*I28</f>
        <v>13429.141323779999</v>
      </c>
      <c r="M28" s="49">
        <f t="shared" ref="M28" si="102">D28*J28</f>
        <v>24208.301712</v>
      </c>
      <c r="N28" s="49">
        <v>0</v>
      </c>
      <c r="O28" s="49">
        <f t="shared" si="7"/>
        <v>2276.4784319999999</v>
      </c>
      <c r="P28" s="49">
        <f t="shared" si="8"/>
        <v>423.03830399999998</v>
      </c>
      <c r="Q28" s="49">
        <f t="shared" si="9"/>
        <v>540.7704</v>
      </c>
      <c r="R28" s="49">
        <f t="shared" ref="R28" si="103">O28+P28+Q28</f>
        <v>3240.2871359999999</v>
      </c>
      <c r="S28" s="49">
        <f t="shared" ref="S28" si="104">SUM(K28+L28+M28+N28)</f>
        <v>117428.87727401999</v>
      </c>
      <c r="T28" s="50">
        <f t="shared" ref="T28" si="105">S28*16%</f>
        <v>18788.620363843198</v>
      </c>
    </row>
    <row r="29" spans="1:28" s="51" customFormat="1" ht="18" customHeight="1" x14ac:dyDescent="0.25">
      <c r="A29" s="56">
        <v>43119</v>
      </c>
      <c r="B29" s="46">
        <v>6822</v>
      </c>
      <c r="C29" s="46">
        <v>1083</v>
      </c>
      <c r="D29" s="46">
        <v>342</v>
      </c>
      <c r="E29" s="57">
        <v>16.75</v>
      </c>
      <c r="F29" s="58">
        <v>18.649999999999999</v>
      </c>
      <c r="G29" s="58">
        <v>17.850000000000001</v>
      </c>
      <c r="H29" s="59">
        <v>14.090344999999999</v>
      </c>
      <c r="I29" s="59">
        <v>15.651379</v>
      </c>
      <c r="J29" s="59">
        <v>15.098017</v>
      </c>
      <c r="K29" s="49">
        <f t="shared" ref="K29" si="106">B29*H29</f>
        <v>96124.333589999995</v>
      </c>
      <c r="L29" s="49">
        <f t="shared" ref="L29" si="107">C29*I29</f>
        <v>16950.443457000001</v>
      </c>
      <c r="M29" s="49">
        <f t="shared" ref="M29" si="108">D29*J29</f>
        <v>5163.5218139999997</v>
      </c>
      <c r="N29" s="49"/>
      <c r="O29" s="49">
        <f t="shared" ref="O29" si="109">B29*0.4052</f>
        <v>2764.2744000000002</v>
      </c>
      <c r="P29" s="49">
        <f t="shared" ref="P29" si="110">C29*0.4944</f>
        <v>535.43520000000001</v>
      </c>
      <c r="Q29" s="49">
        <f t="shared" ref="Q29" si="111">D29*0.3363</f>
        <v>115.0146</v>
      </c>
      <c r="R29" s="49">
        <f t="shared" ref="R29" si="112">O29+P29+Q29</f>
        <v>3414.7242000000001</v>
      </c>
      <c r="S29" s="49">
        <f t="shared" ref="S29" si="113">SUM(K29+L29+M29+N29)</f>
        <v>118238.29886099999</v>
      </c>
      <c r="T29" s="50">
        <f t="shared" ref="T29" si="114">S29*16%</f>
        <v>18918.12781776</v>
      </c>
    </row>
    <row r="30" spans="1:28" s="5" customFormat="1" ht="18" customHeight="1" x14ac:dyDescent="0.25">
      <c r="A30" s="52">
        <v>43120</v>
      </c>
      <c r="B30" s="46">
        <f>5447+876+5845.2</f>
        <v>12168.2</v>
      </c>
      <c r="C30" s="46">
        <f>1338+79+1144.51</f>
        <v>2561.5100000000002</v>
      </c>
      <c r="D30" s="46">
        <f>233+28+304</f>
        <v>565</v>
      </c>
      <c r="E30" s="60">
        <v>16.75</v>
      </c>
      <c r="F30" s="61">
        <v>18.649999999999999</v>
      </c>
      <c r="G30" s="61">
        <v>17.850000000000001</v>
      </c>
      <c r="H30" s="62">
        <v>14.090344999999999</v>
      </c>
      <c r="I30" s="62">
        <v>15.651379</v>
      </c>
      <c r="J30" s="62">
        <v>15.098017</v>
      </c>
      <c r="K30" s="49">
        <f t="shared" ref="K30" si="115">B30*H30</f>
        <v>171454.13602899999</v>
      </c>
      <c r="L30" s="49">
        <f t="shared" ref="L30" si="116">C30*I30</f>
        <v>40091.163822290007</v>
      </c>
      <c r="M30" s="49">
        <f t="shared" ref="M30" si="117">D30*J30</f>
        <v>8530.3796050000001</v>
      </c>
      <c r="N30" s="49">
        <v>293.11</v>
      </c>
      <c r="O30" s="49">
        <f t="shared" ref="O30" si="118">B30*0.4052</f>
        <v>4930.5546400000003</v>
      </c>
      <c r="P30" s="49">
        <f t="shared" ref="P30" si="119">C30*0.4944</f>
        <v>1266.4105440000001</v>
      </c>
      <c r="Q30" s="49">
        <f t="shared" ref="Q30" si="120">D30*0.3363</f>
        <v>190.0095</v>
      </c>
      <c r="R30" s="49">
        <f t="shared" ref="R30" si="121">O30+P30+Q30</f>
        <v>6386.9746840000007</v>
      </c>
      <c r="S30" s="49">
        <f t="shared" ref="S30" si="122">SUM(K30+L30+M30+N30)</f>
        <v>220368.78945628999</v>
      </c>
      <c r="T30" s="50">
        <f t="shared" ref="T30" si="123">S30*16%</f>
        <v>35259.006313006401</v>
      </c>
    </row>
    <row r="31" spans="1:28" s="5" customFormat="1" ht="18" customHeight="1" x14ac:dyDescent="0.25">
      <c r="A31" s="52">
        <v>43121</v>
      </c>
      <c r="B31" s="46">
        <f>5364+4289+964</f>
        <v>10617</v>
      </c>
      <c r="C31" s="46">
        <f>922+1051+90</f>
        <v>2063</v>
      </c>
      <c r="D31" s="46">
        <f>212+326</f>
        <v>538</v>
      </c>
      <c r="E31" s="60">
        <v>16.75</v>
      </c>
      <c r="F31" s="61">
        <v>18.649999999999999</v>
      </c>
      <c r="G31" s="61">
        <v>17.850000000000001</v>
      </c>
      <c r="H31" s="62">
        <v>14.090344999999999</v>
      </c>
      <c r="I31" s="62">
        <v>15.651379</v>
      </c>
      <c r="J31" s="62">
        <v>15.098017</v>
      </c>
      <c r="K31" s="49">
        <f t="shared" ref="K31" si="124">B31*H31</f>
        <v>149597.19286499999</v>
      </c>
      <c r="L31" s="49">
        <f t="shared" ref="L31" si="125">C31*I31</f>
        <v>32288.794877</v>
      </c>
      <c r="M31" s="49">
        <f t="shared" ref="M31" si="126">D31*J31</f>
        <v>8122.7331460000005</v>
      </c>
      <c r="N31" s="49">
        <v>538.79999999999995</v>
      </c>
      <c r="O31" s="49">
        <f t="shared" ref="O31" si="127">B31*0.4052</f>
        <v>4302.0083999999997</v>
      </c>
      <c r="P31" s="49">
        <f t="shared" ref="P31" si="128">C31*0.4944</f>
        <v>1019.9472000000001</v>
      </c>
      <c r="Q31" s="49">
        <f t="shared" ref="Q31" si="129">D31*0.3363</f>
        <v>180.92939999999999</v>
      </c>
      <c r="R31" s="49">
        <f t="shared" ref="R31" si="130">O31+P31+Q31</f>
        <v>5502.8849999999993</v>
      </c>
      <c r="S31" s="49">
        <f t="shared" ref="S31" si="131">SUM(K31+L31+M31+N31)</f>
        <v>190547.520888</v>
      </c>
      <c r="T31" s="50">
        <f t="shared" ref="T31" si="132">S31*16%</f>
        <v>30487.603342080001</v>
      </c>
    </row>
    <row r="32" spans="1:28" s="51" customFormat="1" ht="18" customHeight="1" x14ac:dyDescent="0.25">
      <c r="A32" s="52">
        <v>43122</v>
      </c>
      <c r="B32" s="46">
        <f>763+5059+4980</f>
        <v>10802</v>
      </c>
      <c r="C32" s="46">
        <f>693.32+814+44</f>
        <v>1551.3200000000002</v>
      </c>
      <c r="D32" s="53">
        <f>735+779</f>
        <v>1514</v>
      </c>
      <c r="E32" s="60">
        <v>16.75</v>
      </c>
      <c r="F32" s="61">
        <v>18.649999999999999</v>
      </c>
      <c r="G32" s="61">
        <v>17.850000000000001</v>
      </c>
      <c r="H32" s="62">
        <v>14.090344999999999</v>
      </c>
      <c r="I32" s="62">
        <v>15.651379</v>
      </c>
      <c r="J32" s="62">
        <v>15.098017</v>
      </c>
      <c r="K32" s="49">
        <f t="shared" ref="K32:K40" si="133">B32*H32</f>
        <v>152203.90669</v>
      </c>
      <c r="L32" s="49">
        <f t="shared" ref="L32:L40" si="134">C32*I32</f>
        <v>24280.297270280003</v>
      </c>
      <c r="M32" s="49">
        <f t="shared" ref="M32:M40" si="135">D32*J32</f>
        <v>22858.397738</v>
      </c>
      <c r="N32" s="49">
        <f>211.21+366.38</f>
        <v>577.59</v>
      </c>
      <c r="O32" s="49">
        <f t="shared" ref="O32:O40" si="136">B32*0.4052</f>
        <v>4376.9704000000002</v>
      </c>
      <c r="P32" s="49">
        <f t="shared" ref="P32:P40" si="137">C32*0.4944</f>
        <v>766.97260800000004</v>
      </c>
      <c r="Q32" s="49">
        <f t="shared" ref="Q32:Q40" si="138">D32*0.3363</f>
        <v>509.15819999999997</v>
      </c>
      <c r="R32" s="49">
        <f t="shared" ref="R32:R40" si="139">O32+P32+Q32</f>
        <v>5653.101208</v>
      </c>
      <c r="S32" s="49">
        <f t="shared" ref="S32:S40" si="140">SUM(K32+L32+M32+N32)</f>
        <v>199920.19169827999</v>
      </c>
      <c r="T32" s="50">
        <f t="shared" ref="T32:T40" si="141">S32*16%</f>
        <v>31987.230671724799</v>
      </c>
      <c r="V32" s="55"/>
    </row>
    <row r="33" spans="1:241" s="5" customFormat="1" ht="18" customHeight="1" x14ac:dyDescent="0.25">
      <c r="A33" s="26">
        <v>43123</v>
      </c>
      <c r="B33" s="46">
        <f>883.25+4568.34</f>
        <v>5451.59</v>
      </c>
      <c r="C33" s="46">
        <f>100.76+748.88</f>
        <v>849.64</v>
      </c>
      <c r="D33" s="53">
        <v>570.26</v>
      </c>
      <c r="E33" s="47">
        <v>16.75</v>
      </c>
      <c r="F33" s="46">
        <v>18.649999999999999</v>
      </c>
      <c r="G33" s="46">
        <v>17.850000000000001</v>
      </c>
      <c r="H33" s="48">
        <v>14.090344999999999</v>
      </c>
      <c r="I33" s="48">
        <v>15.651379</v>
      </c>
      <c r="J33" s="48">
        <v>15.0978017</v>
      </c>
      <c r="K33" s="49">
        <f t="shared" si="133"/>
        <v>76814.783898549998</v>
      </c>
      <c r="L33" s="49">
        <f t="shared" si="134"/>
        <v>13298.037653560001</v>
      </c>
      <c r="M33" s="49">
        <f t="shared" si="135"/>
        <v>8609.6723974420001</v>
      </c>
      <c r="N33" s="49">
        <v>137.93</v>
      </c>
      <c r="O33" s="49">
        <f t="shared" si="136"/>
        <v>2208.9842680000002</v>
      </c>
      <c r="P33" s="49">
        <f t="shared" si="137"/>
        <v>420.06201599999997</v>
      </c>
      <c r="Q33" s="49">
        <f t="shared" si="138"/>
        <v>191.77843799999999</v>
      </c>
      <c r="R33" s="49">
        <f t="shared" si="139"/>
        <v>2820.8247219999998</v>
      </c>
      <c r="S33" s="49">
        <f t="shared" si="140"/>
        <v>98860.423949551987</v>
      </c>
      <c r="T33" s="50">
        <f t="shared" si="141"/>
        <v>15817.667831928318</v>
      </c>
      <c r="V33" s="8"/>
    </row>
    <row r="34" spans="1:241" s="5" customFormat="1" ht="18" customHeight="1" x14ac:dyDescent="0.25">
      <c r="A34" s="81">
        <v>43124</v>
      </c>
      <c r="B34" s="46">
        <v>4635.62</v>
      </c>
      <c r="C34" s="46">
        <v>832.33</v>
      </c>
      <c r="D34" s="53">
        <v>552.1</v>
      </c>
      <c r="E34" s="73">
        <v>16.850000000000001</v>
      </c>
      <c r="F34" s="74">
        <v>18.8</v>
      </c>
      <c r="G34" s="74">
        <v>17.95</v>
      </c>
      <c r="H34" s="75">
        <v>14.176551999999999</v>
      </c>
      <c r="I34" s="75">
        <v>15.78069</v>
      </c>
      <c r="J34" s="75">
        <v>15.184224</v>
      </c>
      <c r="K34" s="49">
        <f t="shared" si="133"/>
        <v>65717.107982239992</v>
      </c>
      <c r="L34" s="49">
        <f t="shared" si="134"/>
        <v>13134.741707700001</v>
      </c>
      <c r="M34" s="49">
        <f t="shared" si="135"/>
        <v>8383.2100704000004</v>
      </c>
      <c r="N34" s="49">
        <v>685.34</v>
      </c>
      <c r="O34" s="49">
        <f t="shared" si="136"/>
        <v>1878.353224</v>
      </c>
      <c r="P34" s="49">
        <f t="shared" si="137"/>
        <v>411.50395200000003</v>
      </c>
      <c r="Q34" s="49">
        <f t="shared" si="138"/>
        <v>185.67123000000001</v>
      </c>
      <c r="R34" s="49">
        <f t="shared" si="139"/>
        <v>2475.5284059999999</v>
      </c>
      <c r="S34" s="49">
        <f t="shared" si="140"/>
        <v>87920.399760339991</v>
      </c>
      <c r="T34" s="50">
        <f t="shared" si="141"/>
        <v>14067.263961654398</v>
      </c>
      <c r="V34" s="8"/>
    </row>
    <row r="35" spans="1:241" s="5" customFormat="1" ht="18" customHeight="1" x14ac:dyDescent="0.25">
      <c r="A35" s="26">
        <v>43125</v>
      </c>
      <c r="B35" s="2">
        <v>9100.73</v>
      </c>
      <c r="C35" s="2">
        <v>1519.97</v>
      </c>
      <c r="D35" s="3">
        <v>1235.3800000000001</v>
      </c>
      <c r="E35" s="15">
        <v>16.850000000000001</v>
      </c>
      <c r="F35" s="2">
        <v>18.8</v>
      </c>
      <c r="G35" s="2">
        <v>17.95</v>
      </c>
      <c r="H35" s="16">
        <v>14.176551999999999</v>
      </c>
      <c r="I35" s="16">
        <v>15.78069</v>
      </c>
      <c r="J35" s="16">
        <v>15.184224</v>
      </c>
      <c r="K35" s="25">
        <f t="shared" si="133"/>
        <v>129016.97208295998</v>
      </c>
      <c r="L35" s="25">
        <f t="shared" si="134"/>
        <v>23986.175379299999</v>
      </c>
      <c r="M35" s="25">
        <f t="shared" si="135"/>
        <v>18758.286645120003</v>
      </c>
      <c r="N35" s="72">
        <v>353.44</v>
      </c>
      <c r="O35" s="25">
        <f t="shared" si="136"/>
        <v>3687.615796</v>
      </c>
      <c r="P35" s="25">
        <f t="shared" si="137"/>
        <v>751.47316799999999</v>
      </c>
      <c r="Q35" s="25">
        <f t="shared" si="138"/>
        <v>415.45829400000002</v>
      </c>
      <c r="R35" s="25">
        <f t="shared" si="139"/>
        <v>4854.5472580000005</v>
      </c>
      <c r="S35" s="72">
        <f t="shared" si="140"/>
        <v>172114.87410737999</v>
      </c>
      <c r="T35" s="19">
        <f t="shared" si="141"/>
        <v>27538.3798571808</v>
      </c>
      <c r="V35" s="8"/>
    </row>
    <row r="36" spans="1:241" s="5" customFormat="1" ht="18" customHeight="1" x14ac:dyDescent="0.25">
      <c r="A36" s="26">
        <v>43126</v>
      </c>
      <c r="B36" s="2">
        <f>836.6+5747.81</f>
        <v>6584.4100000000008</v>
      </c>
      <c r="C36" s="3">
        <f>673.46+104.44</f>
        <v>777.90000000000009</v>
      </c>
      <c r="D36" s="2">
        <v>742.69</v>
      </c>
      <c r="E36" s="15">
        <v>16.850000000000001</v>
      </c>
      <c r="F36" s="2">
        <v>18.8</v>
      </c>
      <c r="G36" s="2">
        <v>17.95</v>
      </c>
      <c r="H36" s="16">
        <v>14.176551999999999</v>
      </c>
      <c r="I36" s="16">
        <v>15.78069</v>
      </c>
      <c r="J36" s="16">
        <v>15.184224</v>
      </c>
      <c r="K36" s="25">
        <f t="shared" si="133"/>
        <v>93344.23075432</v>
      </c>
      <c r="L36" s="25">
        <f t="shared" si="134"/>
        <v>12275.798751000002</v>
      </c>
      <c r="M36" s="25">
        <f t="shared" si="135"/>
        <v>11277.171322560001</v>
      </c>
      <c r="N36" s="49">
        <v>211.21</v>
      </c>
      <c r="O36" s="25">
        <f t="shared" si="136"/>
        <v>2668.0029320000003</v>
      </c>
      <c r="P36" s="25">
        <f t="shared" si="137"/>
        <v>384.59376000000003</v>
      </c>
      <c r="Q36" s="25">
        <f t="shared" si="138"/>
        <v>249.76664700000001</v>
      </c>
      <c r="R36" s="25">
        <f t="shared" si="139"/>
        <v>3302.3633390000005</v>
      </c>
      <c r="S36" s="72">
        <f t="shared" si="140"/>
        <v>117108.41082788001</v>
      </c>
      <c r="T36" s="19">
        <f t="shared" si="141"/>
        <v>18737.345732460803</v>
      </c>
      <c r="V36" s="8"/>
    </row>
    <row r="37" spans="1:241" s="5" customFormat="1" ht="18" customHeight="1" x14ac:dyDescent="0.25">
      <c r="A37" s="26">
        <v>43127</v>
      </c>
      <c r="B37" s="2">
        <v>6303.83</v>
      </c>
      <c r="C37" s="3">
        <v>784.19</v>
      </c>
      <c r="D37" s="2">
        <v>275.48</v>
      </c>
      <c r="E37" s="73">
        <v>17.309999999999999</v>
      </c>
      <c r="F37" s="74">
        <v>18.989999999999998</v>
      </c>
      <c r="G37" s="74">
        <v>18.04</v>
      </c>
      <c r="H37" s="75">
        <v>14.573103</v>
      </c>
      <c r="I37" s="75">
        <v>15.944483</v>
      </c>
      <c r="J37" s="75">
        <v>15.261810000000001</v>
      </c>
      <c r="K37" s="25">
        <f t="shared" si="133"/>
        <v>91866.363884489998</v>
      </c>
      <c r="L37" s="25">
        <f t="shared" si="134"/>
        <v>12503.504123770001</v>
      </c>
      <c r="M37" s="25">
        <f t="shared" si="135"/>
        <v>4204.3234188000006</v>
      </c>
      <c r="N37" s="49">
        <v>293.11</v>
      </c>
      <c r="O37" s="25">
        <f t="shared" si="136"/>
        <v>2554.3119160000001</v>
      </c>
      <c r="P37" s="25">
        <f t="shared" si="137"/>
        <v>387.70353600000004</v>
      </c>
      <c r="Q37" s="25">
        <f t="shared" si="138"/>
        <v>92.643923999999998</v>
      </c>
      <c r="R37" s="25">
        <f t="shared" si="139"/>
        <v>3034.6593760000001</v>
      </c>
      <c r="S37" s="72">
        <f t="shared" si="140"/>
        <v>108867.30142706001</v>
      </c>
      <c r="T37" s="19">
        <f t="shared" si="141"/>
        <v>17418.768228329602</v>
      </c>
      <c r="V37" s="8"/>
    </row>
    <row r="38" spans="1:241" s="5" customFormat="1" ht="18" customHeight="1" x14ac:dyDescent="0.25">
      <c r="A38" s="26">
        <v>43128</v>
      </c>
      <c r="B38" s="2">
        <f>5475.17+734.32+4937.19</f>
        <v>11146.68</v>
      </c>
      <c r="C38" s="3">
        <f>1032+900.26+108.99</f>
        <v>2041.25</v>
      </c>
      <c r="D38" s="2">
        <f>129.84+151.19+703.91</f>
        <v>984.93999999999994</v>
      </c>
      <c r="E38" s="47">
        <v>17.309999999999999</v>
      </c>
      <c r="F38" s="46">
        <v>18.989999999999998</v>
      </c>
      <c r="G38" s="46">
        <v>18.04</v>
      </c>
      <c r="H38" s="48">
        <v>14.573103</v>
      </c>
      <c r="I38" s="48">
        <v>15.944483</v>
      </c>
      <c r="J38" s="48">
        <v>15.261810000000001</v>
      </c>
      <c r="K38" s="25">
        <f t="shared" si="133"/>
        <v>162441.71574804001</v>
      </c>
      <c r="L38" s="25">
        <f t="shared" si="134"/>
        <v>32546.675923750001</v>
      </c>
      <c r="M38" s="25">
        <f t="shared" si="135"/>
        <v>15031.9671414</v>
      </c>
      <c r="N38" s="49">
        <v>0</v>
      </c>
      <c r="O38" s="25">
        <f t="shared" si="136"/>
        <v>4516.634736</v>
      </c>
      <c r="P38" s="25">
        <f t="shared" si="137"/>
        <v>1009.194</v>
      </c>
      <c r="Q38" s="25">
        <f t="shared" si="138"/>
        <v>331.235322</v>
      </c>
      <c r="R38" s="25">
        <f t="shared" si="139"/>
        <v>5857.0640579999999</v>
      </c>
      <c r="S38" s="72">
        <f t="shared" si="140"/>
        <v>210020.35881319002</v>
      </c>
      <c r="T38" s="19">
        <f t="shared" si="141"/>
        <v>33603.257410110404</v>
      </c>
      <c r="V38" s="8"/>
    </row>
    <row r="39" spans="1:241" s="5" customFormat="1" ht="18" customHeight="1" x14ac:dyDescent="0.25">
      <c r="A39" s="26">
        <v>43129</v>
      </c>
      <c r="B39" s="2">
        <f>470.91+3994+4585.74</f>
        <v>9050.65</v>
      </c>
      <c r="C39" s="3">
        <f>930.46+625+137.06</f>
        <v>1692.52</v>
      </c>
      <c r="D39" s="2">
        <f>396+288</f>
        <v>684</v>
      </c>
      <c r="E39" s="47">
        <v>17.309999999999999</v>
      </c>
      <c r="F39" s="46">
        <v>18.989999999999998</v>
      </c>
      <c r="G39" s="46">
        <v>18.04</v>
      </c>
      <c r="H39" s="48">
        <v>14.573103</v>
      </c>
      <c r="I39" s="48">
        <v>15.944483</v>
      </c>
      <c r="J39" s="48">
        <v>15.261810000000001</v>
      </c>
      <c r="K39" s="25">
        <f t="shared" si="133"/>
        <v>131896.05466694999</v>
      </c>
      <c r="L39" s="25">
        <f t="shared" si="134"/>
        <v>26986.356367159999</v>
      </c>
      <c r="M39" s="25">
        <f t="shared" si="135"/>
        <v>10439.07804</v>
      </c>
      <c r="N39" s="49">
        <v>491.39</v>
      </c>
      <c r="O39" s="25">
        <f t="shared" si="136"/>
        <v>3667.3233799999998</v>
      </c>
      <c r="P39" s="25">
        <f t="shared" si="137"/>
        <v>836.78188799999998</v>
      </c>
      <c r="Q39" s="25">
        <f t="shared" si="138"/>
        <v>230.0292</v>
      </c>
      <c r="R39" s="25">
        <f t="shared" si="139"/>
        <v>4734.1344679999993</v>
      </c>
      <c r="S39" s="72">
        <f t="shared" si="140"/>
        <v>169812.87907411001</v>
      </c>
      <c r="T39" s="19">
        <f t="shared" si="141"/>
        <v>27170.060651857602</v>
      </c>
      <c r="V39" s="8"/>
    </row>
    <row r="40" spans="1:241" s="5" customFormat="1" ht="18" customHeight="1" x14ac:dyDescent="0.25">
      <c r="A40" s="26">
        <v>43130</v>
      </c>
      <c r="B40" s="2">
        <f>4304.36+4857.29+714.41</f>
        <v>9876.06</v>
      </c>
      <c r="C40" s="3">
        <f>123.85+615.36+654.25</f>
        <v>1393.46</v>
      </c>
      <c r="D40" s="2">
        <f>469.13+1103.11+0</f>
        <v>1572.2399999999998</v>
      </c>
      <c r="E40" s="47">
        <v>17.309999999999999</v>
      </c>
      <c r="F40" s="46">
        <v>18.989999999999998</v>
      </c>
      <c r="G40" s="46">
        <v>18.04</v>
      </c>
      <c r="H40" s="48">
        <v>14.573103</v>
      </c>
      <c r="I40" s="48">
        <v>15.944483</v>
      </c>
      <c r="J40" s="48">
        <v>15.261810000000001</v>
      </c>
      <c r="K40" s="25">
        <f t="shared" si="133"/>
        <v>143924.83961418</v>
      </c>
      <c r="L40" s="25">
        <f t="shared" si="134"/>
        <v>22217.99928118</v>
      </c>
      <c r="M40" s="25">
        <f t="shared" si="135"/>
        <v>23995.228154399996</v>
      </c>
      <c r="N40" s="49">
        <v>663.79</v>
      </c>
      <c r="O40" s="25">
        <f t="shared" si="136"/>
        <v>4001.7795119999996</v>
      </c>
      <c r="P40" s="25">
        <f t="shared" si="137"/>
        <v>688.92662400000006</v>
      </c>
      <c r="Q40" s="25">
        <f t="shared" si="138"/>
        <v>528.74431199999992</v>
      </c>
      <c r="R40" s="25">
        <f t="shared" si="139"/>
        <v>5219.4504479999996</v>
      </c>
      <c r="S40" s="72">
        <f t="shared" si="140"/>
        <v>190801.85704976</v>
      </c>
      <c r="T40" s="19">
        <f t="shared" si="141"/>
        <v>30528.297127961599</v>
      </c>
      <c r="V40" s="8"/>
    </row>
    <row r="41" spans="1:241" s="51" customFormat="1" ht="18" customHeight="1" thickBot="1" x14ac:dyDescent="0.3">
      <c r="A41" s="76">
        <v>43131</v>
      </c>
      <c r="B41" s="77">
        <f>4319.4+619+4033</f>
        <v>8971.4</v>
      </c>
      <c r="C41" s="77">
        <f>677.66+32+627</f>
        <v>1336.6599999999999</v>
      </c>
      <c r="D41" s="78">
        <f>219.96+1027.32</f>
        <v>1247.28</v>
      </c>
      <c r="E41" s="47">
        <v>17.21</v>
      </c>
      <c r="F41" s="46">
        <v>19.07</v>
      </c>
      <c r="G41" s="46">
        <v>18.25</v>
      </c>
      <c r="H41" s="48">
        <v>14.486897000000001</v>
      </c>
      <c r="I41" s="48">
        <v>16.013448</v>
      </c>
      <c r="J41" s="48">
        <v>15.442845</v>
      </c>
      <c r="K41" s="79">
        <f t="shared" ref="K39:K41" si="142">B41*H41</f>
        <v>129967.74774580001</v>
      </c>
      <c r="L41" s="79">
        <f t="shared" ref="L39:L41" si="143">C41*I41</f>
        <v>21404.535403679998</v>
      </c>
      <c r="M41" s="79">
        <f t="shared" ref="M39:M41" si="144">D41*J41</f>
        <v>19261.551711600001</v>
      </c>
      <c r="N41" s="79">
        <f>68.97+172.41</f>
        <v>241.38</v>
      </c>
      <c r="O41" s="79">
        <f t="shared" si="7"/>
        <v>3635.21128</v>
      </c>
      <c r="P41" s="79">
        <f t="shared" si="8"/>
        <v>660.84470399999998</v>
      </c>
      <c r="Q41" s="79">
        <f t="shared" si="9"/>
        <v>419.460264</v>
      </c>
      <c r="R41" s="79">
        <f t="shared" ref="R39:R41" si="145">O41+P41+Q41</f>
        <v>4715.5162479999999</v>
      </c>
      <c r="S41" s="79">
        <f t="shared" ref="S40:S41" si="146">SUM(K41+L41+M41+N41)</f>
        <v>170875.21486108002</v>
      </c>
      <c r="T41" s="80">
        <f t="shared" ref="T39:T41" si="147">S41*16%</f>
        <v>27340.034377772805</v>
      </c>
      <c r="V41" s="55"/>
    </row>
    <row r="42" spans="1:241" ht="18" customHeight="1" x14ac:dyDescent="0.25">
      <c r="A42" s="5"/>
      <c r="B42" s="8"/>
      <c r="C42" s="8"/>
      <c r="D42" s="8"/>
      <c r="E42" s="5"/>
      <c r="F42" s="5"/>
      <c r="G42" s="5"/>
      <c r="H42" s="5"/>
      <c r="I42" s="18"/>
      <c r="J42" s="4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4"/>
      <c r="V42" s="4"/>
      <c r="W42" s="4"/>
      <c r="X42" s="4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</row>
    <row r="43" spans="1:241" ht="18" customHeight="1" x14ac:dyDescent="0.25">
      <c r="A43" s="5"/>
      <c r="B43" s="5"/>
      <c r="D43" s="5"/>
      <c r="E43" s="5"/>
      <c r="F43" s="5"/>
      <c r="G43" s="5"/>
      <c r="H43" s="5"/>
      <c r="I43" s="18"/>
      <c r="J43" s="4"/>
      <c r="K43" s="17">
        <f>SUM(K32:K42)</f>
        <v>1177193.72306753</v>
      </c>
      <c r="L43" s="17">
        <f t="shared" ref="L43:N43" si="148">SUM(L32:L42)</f>
        <v>202634.12186138003</v>
      </c>
      <c r="M43" s="17">
        <f t="shared" si="148"/>
        <v>142818.88663972201</v>
      </c>
      <c r="N43" s="17">
        <f t="shared" si="148"/>
        <v>3655.1800000000003</v>
      </c>
      <c r="O43" s="17"/>
      <c r="P43" s="17"/>
      <c r="Q43" s="17"/>
      <c r="R43" s="17">
        <f>SUM(R32:R42)</f>
        <v>42667.189530999996</v>
      </c>
      <c r="S43" s="17">
        <f t="shared" ref="S43:T43" si="149">SUM(S32:S42)</f>
        <v>1526301.9115686321</v>
      </c>
      <c r="T43" s="17">
        <f t="shared" si="149"/>
        <v>244208.30585098112</v>
      </c>
      <c r="U43" s="4"/>
      <c r="V43" s="4"/>
      <c r="W43" s="4"/>
      <c r="X43" s="4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</row>
    <row r="44" spans="1:241" ht="18" customHeight="1" x14ac:dyDescent="0.25">
      <c r="A44" s="5"/>
      <c r="B44" s="5"/>
      <c r="D44" s="5"/>
      <c r="E44" s="5"/>
      <c r="F44" s="5"/>
      <c r="G44" s="5"/>
      <c r="H44" s="5"/>
      <c r="I44" s="18"/>
      <c r="J44" s="4"/>
      <c r="K44" s="4"/>
      <c r="L44" s="4"/>
      <c r="M44" s="4"/>
      <c r="N44" s="4"/>
      <c r="O44" s="4"/>
      <c r="P44" s="4"/>
      <c r="Q44" s="4"/>
      <c r="R44" s="17"/>
      <c r="S44" s="17"/>
      <c r="T44" s="17"/>
      <c r="U44" s="4"/>
      <c r="V44" s="4"/>
      <c r="W44" s="4"/>
      <c r="X44" s="4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</row>
    <row r="45" spans="1:241" ht="18" customHeight="1" x14ac:dyDescent="0.25">
      <c r="A45" s="6"/>
      <c r="B45" s="5"/>
      <c r="C45" s="5"/>
      <c r="D45" s="5"/>
      <c r="E45" s="5"/>
      <c r="F45" s="5"/>
      <c r="G45" s="5"/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</row>
    <row r="46" spans="1:241" x14ac:dyDescent="0.25">
      <c r="A46" s="10"/>
      <c r="B46" s="5" t="s">
        <v>13</v>
      </c>
      <c r="C46" s="5"/>
      <c r="D46" s="5"/>
      <c r="E46" s="5"/>
      <c r="F46" s="5"/>
      <c r="G46" s="5"/>
      <c r="H46" s="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</row>
    <row r="47" spans="1:241" x14ac:dyDescent="0.25">
      <c r="A47" s="7"/>
      <c r="B47" s="5" t="s">
        <v>14</v>
      </c>
      <c r="C47" s="5"/>
      <c r="D47" s="5"/>
      <c r="E47" s="5"/>
      <c r="F47" s="5"/>
      <c r="G47" s="5"/>
      <c r="H47" s="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</row>
    <row r="48" spans="1:241" x14ac:dyDescent="0.25">
      <c r="A48" s="5"/>
      <c r="B48" s="5"/>
      <c r="C48" s="5"/>
      <c r="D48" s="5"/>
      <c r="E48" s="5"/>
      <c r="F48" s="5"/>
      <c r="G48" s="5"/>
      <c r="H48" s="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</row>
    <row r="49" spans="1:124" x14ac:dyDescent="0.25">
      <c r="A49" s="5"/>
      <c r="B49" s="5"/>
      <c r="C49" s="5"/>
      <c r="D49" s="5"/>
      <c r="E49" s="5"/>
      <c r="F49" s="5"/>
      <c r="G49" s="5"/>
      <c r="H49" s="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</row>
    <row r="50" spans="1:124" x14ac:dyDescent="0.25">
      <c r="A50" s="5"/>
      <c r="B50" s="5"/>
      <c r="C50" s="5"/>
      <c r="D50" s="5"/>
      <c r="E50" s="5"/>
      <c r="F50" s="5"/>
      <c r="G50" s="5"/>
      <c r="H50" s="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</row>
    <row r="51" spans="1:124" x14ac:dyDescent="0.25">
      <c r="A51" s="5"/>
      <c r="B51" s="5"/>
      <c r="C51" s="5"/>
      <c r="D51" s="5"/>
      <c r="E51" s="5"/>
      <c r="F51" s="5"/>
      <c r="G51" s="5"/>
      <c r="H51" s="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</row>
    <row r="52" spans="1:124" x14ac:dyDescent="0.25">
      <c r="A52" s="5"/>
      <c r="B52" s="5"/>
      <c r="C52" s="5"/>
      <c r="D52" s="5"/>
      <c r="E52" s="5"/>
      <c r="F52" s="5"/>
      <c r="G52" s="5"/>
      <c r="H52" s="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</row>
    <row r="53" spans="1:124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</row>
    <row r="54" spans="1:124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</row>
    <row r="55" spans="1:124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</row>
    <row r="56" spans="1:124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</row>
    <row r="57" spans="1:124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</row>
    <row r="58" spans="1:124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</row>
    <row r="59" spans="1:124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</row>
    <row r="60" spans="1:124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</row>
    <row r="61" spans="1:124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</row>
    <row r="62" spans="1:124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124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124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</row>
    <row r="65" spans="1:42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</row>
    <row r="66" spans="1:42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</row>
    <row r="67" spans="1:42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</row>
    <row r="68" spans="1:42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</row>
    <row r="69" spans="1:42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</row>
    <row r="70" spans="1:42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</row>
    <row r="71" spans="1:42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</row>
    <row r="72" spans="1:42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</row>
    <row r="73" spans="1:42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</row>
    <row r="74" spans="1:42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</row>
    <row r="75" spans="1:42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</row>
    <row r="76" spans="1:42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</row>
    <row r="77" spans="1:42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</row>
    <row r="78" spans="1:42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</row>
    <row r="79" spans="1:42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</row>
    <row r="80" spans="1:42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</row>
    <row r="81" spans="1:42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</row>
    <row r="82" spans="1:42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</row>
    <row r="83" spans="1:42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</row>
    <row r="84" spans="1:42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</row>
    <row r="85" spans="1:42" x14ac:dyDescent="0.25">
      <c r="A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</row>
    <row r="86" spans="1:42" x14ac:dyDescent="0.25">
      <c r="A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</row>
    <row r="87" spans="1:42" x14ac:dyDescent="0.25">
      <c r="A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</row>
    <row r="88" spans="1:42" x14ac:dyDescent="0.25">
      <c r="A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</row>
    <row r="89" spans="1:42" x14ac:dyDescent="0.25">
      <c r="A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</row>
    <row r="90" spans="1:42" x14ac:dyDescent="0.25">
      <c r="A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</row>
    <row r="91" spans="1:42" x14ac:dyDescent="0.25"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</row>
    <row r="92" spans="1:42" x14ac:dyDescent="0.25"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</row>
  </sheetData>
  <mergeCells count="6">
    <mergeCell ref="A3:J3"/>
    <mergeCell ref="E4:G4"/>
    <mergeCell ref="H4:J4"/>
    <mergeCell ref="K4:M4"/>
    <mergeCell ref="B4:D4"/>
    <mergeCell ref="A4:A5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5" sqref="G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</vt:lpstr>
      <vt:lpstr>Hoja1</vt:lpstr>
      <vt:lpstr>HOJA!Área_de_impresión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2017-05-31T22:35:30Z</cp:lastPrinted>
  <dcterms:created xsi:type="dcterms:W3CDTF">2015-10-02T22:42:38Z</dcterms:created>
  <dcterms:modified xsi:type="dcterms:W3CDTF">2018-02-08T17:48:44Z</dcterms:modified>
</cp:coreProperties>
</file>