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1805" windowHeight="8730"/>
  </bookViews>
  <sheets>
    <sheet name="HOJA" sheetId="3" r:id="rId1"/>
    <sheet name="Hoja1" sheetId="4" r:id="rId2"/>
  </sheets>
  <definedNames>
    <definedName name="_xlnm.Print_Area" localSheetId="0">HOJA!$A$1:$T$35</definedName>
  </definedNames>
  <calcPr calcId="171027"/>
</workbook>
</file>

<file path=xl/calcChain.xml><?xml version="1.0" encoding="utf-8"?>
<calcChain xmlns="http://schemas.openxmlformats.org/spreadsheetml/2006/main">
  <c r="U35" i="3" l="1"/>
  <c r="N35" i="3"/>
  <c r="C35" i="3"/>
  <c r="B35" i="3"/>
  <c r="N34" i="3" l="1"/>
  <c r="C34" i="3"/>
  <c r="L34" i="3" s="1"/>
  <c r="B34" i="3"/>
  <c r="K34" i="3" s="1"/>
  <c r="Q34" i="3"/>
  <c r="S34" i="3" l="1"/>
  <c r="T34" i="3" s="1"/>
  <c r="U34" i="3" s="1"/>
  <c r="P34" i="3"/>
  <c r="O34" i="3"/>
  <c r="K11" i="3"/>
  <c r="L11" i="3"/>
  <c r="M11" i="3"/>
  <c r="O11" i="3"/>
  <c r="P11" i="3"/>
  <c r="Q11" i="3"/>
  <c r="K9" i="3"/>
  <c r="L9" i="3"/>
  <c r="M9" i="3"/>
  <c r="O9" i="3"/>
  <c r="P9" i="3"/>
  <c r="Q9" i="3"/>
  <c r="K10" i="3"/>
  <c r="L10" i="3"/>
  <c r="M10" i="3"/>
  <c r="O10" i="3"/>
  <c r="P10" i="3"/>
  <c r="Q10" i="3"/>
  <c r="K8" i="3"/>
  <c r="L8" i="3"/>
  <c r="M8" i="3"/>
  <c r="O8" i="3"/>
  <c r="P8" i="3"/>
  <c r="Q8" i="3"/>
  <c r="K7" i="3"/>
  <c r="L7" i="3"/>
  <c r="M7" i="3"/>
  <c r="O7" i="3"/>
  <c r="P7" i="3"/>
  <c r="Q7" i="3"/>
  <c r="K12" i="3"/>
  <c r="K6" i="3"/>
  <c r="Q6" i="3"/>
  <c r="P6" i="3"/>
  <c r="O6" i="3"/>
  <c r="M6" i="3"/>
  <c r="L6" i="3"/>
  <c r="R34" i="3" l="1"/>
  <c r="R11" i="3"/>
  <c r="S11" i="3"/>
  <c r="T11" i="3" s="1"/>
  <c r="R10" i="3"/>
  <c r="S10" i="3"/>
  <c r="T10" i="3" s="1"/>
  <c r="R9" i="3"/>
  <c r="S9" i="3"/>
  <c r="T9" i="3" s="1"/>
  <c r="R8" i="3"/>
  <c r="S8" i="3"/>
  <c r="T8" i="3" s="1"/>
  <c r="S7" i="3"/>
  <c r="T7" i="3" s="1"/>
  <c r="R7" i="3"/>
  <c r="R6" i="3"/>
  <c r="S6" i="3"/>
  <c r="T6" i="3" s="1"/>
  <c r="C33" i="3"/>
  <c r="P33" i="3" s="1"/>
  <c r="B33" i="3"/>
  <c r="K33" i="3" s="1"/>
  <c r="Q33" i="3"/>
  <c r="L33" i="3" l="1"/>
  <c r="O33" i="3"/>
  <c r="R33" i="3" s="1"/>
  <c r="S33" i="3"/>
  <c r="T33" i="3" l="1"/>
  <c r="N32" i="3" l="1"/>
  <c r="C32" i="3"/>
  <c r="L32" i="3" s="1"/>
  <c r="B32" i="3"/>
  <c r="K32" i="3" s="1"/>
  <c r="Q32" i="3"/>
  <c r="P32" i="3" l="1"/>
  <c r="S32" i="3"/>
  <c r="O32" i="3"/>
  <c r="R32" i="3" s="1"/>
  <c r="T32" i="3" l="1"/>
  <c r="C31" i="3" l="1"/>
  <c r="L31" i="3" s="1"/>
  <c r="B31" i="3"/>
  <c r="O31" i="3" s="1"/>
  <c r="K31" i="3"/>
  <c r="P31" i="3"/>
  <c r="Q31" i="3"/>
  <c r="S31" i="3" l="1"/>
  <c r="R31" i="3"/>
  <c r="B29" i="3"/>
  <c r="B30" i="3"/>
  <c r="O30" i="3" s="1"/>
  <c r="C30" i="3"/>
  <c r="P30" i="3" s="1"/>
  <c r="C29" i="3"/>
  <c r="N30" i="3"/>
  <c r="K30" i="3"/>
  <c r="Q30" i="3"/>
  <c r="L29" i="3"/>
  <c r="K29" i="3"/>
  <c r="Q29" i="3"/>
  <c r="T31" i="3" l="1"/>
  <c r="L30" i="3"/>
  <c r="R30" i="3"/>
  <c r="S30" i="3"/>
  <c r="P29" i="3"/>
  <c r="S29" i="3"/>
  <c r="O29" i="3"/>
  <c r="C28" i="3"/>
  <c r="L28" i="3"/>
  <c r="B28" i="3"/>
  <c r="O28" i="3" s="1"/>
  <c r="Q28" i="3"/>
  <c r="T30" i="3" l="1"/>
  <c r="K28" i="3"/>
  <c r="R29" i="3"/>
  <c r="T29" i="3"/>
  <c r="P28" i="3"/>
  <c r="R28" i="3"/>
  <c r="S28" i="3"/>
  <c r="C25" i="3"/>
  <c r="B25" i="3"/>
  <c r="B27" i="3"/>
  <c r="C27" i="3"/>
  <c r="T28" i="3" l="1"/>
  <c r="P27" i="3"/>
  <c r="K27" i="3"/>
  <c r="M27" i="3"/>
  <c r="Q27" i="3"/>
  <c r="O27" i="3" l="1"/>
  <c r="R27" i="3"/>
  <c r="L27" i="3"/>
  <c r="S27" i="3" s="1"/>
  <c r="C26" i="3"/>
  <c r="B26" i="3"/>
  <c r="O26" i="3" s="1"/>
  <c r="L26" i="3"/>
  <c r="M26" i="3"/>
  <c r="P26" i="3"/>
  <c r="Q26" i="3"/>
  <c r="T27" i="3" l="1"/>
  <c r="R26" i="3"/>
  <c r="K26" i="3"/>
  <c r="S26" i="3" s="1"/>
  <c r="T26" i="3" s="1"/>
  <c r="N25" i="3" l="1"/>
  <c r="K25" i="3"/>
  <c r="L25" i="3"/>
  <c r="M25" i="3"/>
  <c r="O25" i="3"/>
  <c r="P25" i="3"/>
  <c r="Q25" i="3"/>
  <c r="R25" i="3" l="1"/>
  <c r="S25" i="3"/>
  <c r="T25" i="3" s="1"/>
  <c r="D24" i="3"/>
  <c r="Q24" i="3" s="1"/>
  <c r="C24" i="3"/>
  <c r="L24" i="3" s="1"/>
  <c r="B24" i="3"/>
  <c r="O24" i="3" s="1"/>
  <c r="K24" i="3"/>
  <c r="M24" i="3"/>
  <c r="P24" i="3"/>
  <c r="R24" i="3" l="1"/>
  <c r="S24" i="3"/>
  <c r="T24" i="3" s="1"/>
  <c r="D23" i="3"/>
  <c r="Q23" i="3" s="1"/>
  <c r="C23" i="3"/>
  <c r="P23" i="3" s="1"/>
  <c r="B23" i="3"/>
  <c r="K23" i="3" s="1"/>
  <c r="N23" i="3"/>
  <c r="M23" i="3" l="1"/>
  <c r="L23" i="3"/>
  <c r="O23" i="3"/>
  <c r="R23" i="3" s="1"/>
  <c r="N22" i="3"/>
  <c r="D22" i="3"/>
  <c r="C22" i="3"/>
  <c r="B22" i="3"/>
  <c r="S23" i="3" l="1"/>
  <c r="T23" i="3" s="1"/>
  <c r="K22" i="3"/>
  <c r="L22" i="3"/>
  <c r="M22" i="3"/>
  <c r="O22" i="3"/>
  <c r="P22" i="3"/>
  <c r="Q22" i="3"/>
  <c r="B21" i="3"/>
  <c r="K21" i="3" s="1"/>
  <c r="C21" i="3"/>
  <c r="L21" i="3" s="1"/>
  <c r="N21" i="3"/>
  <c r="M21" i="3"/>
  <c r="Q21" i="3"/>
  <c r="P21" i="3" l="1"/>
  <c r="R22" i="3"/>
  <c r="S22" i="3"/>
  <c r="T22" i="3" s="1"/>
  <c r="S21" i="3"/>
  <c r="T21" i="3" s="1"/>
  <c r="O21" i="3"/>
  <c r="R21" i="3" s="1"/>
  <c r="D20" i="3"/>
  <c r="C20" i="3"/>
  <c r="P20" i="3" s="1"/>
  <c r="B20" i="3"/>
  <c r="O20" i="3" s="1"/>
  <c r="K20" i="3"/>
  <c r="M20" i="3"/>
  <c r="Q20" i="3"/>
  <c r="R20" i="3" l="1"/>
  <c r="L20" i="3"/>
  <c r="S20" i="3" s="1"/>
  <c r="T20" i="3" s="1"/>
  <c r="D19" i="3" l="1"/>
  <c r="M19" i="3" s="1"/>
  <c r="C19" i="3"/>
  <c r="L19" i="3" s="1"/>
  <c r="B19" i="3"/>
  <c r="N19" i="3"/>
  <c r="K19" i="3"/>
  <c r="O19" i="3"/>
  <c r="Q19" i="3" l="1"/>
  <c r="P19" i="3"/>
  <c r="R19" i="3" s="1"/>
  <c r="S19" i="3"/>
  <c r="T19" i="3" s="1"/>
  <c r="D18" i="3"/>
  <c r="Q18" i="3" s="1"/>
  <c r="C18" i="3"/>
  <c r="L18" i="3" s="1"/>
  <c r="B18" i="3"/>
  <c r="O18" i="3" s="1"/>
  <c r="N18" i="3"/>
  <c r="M18" i="3" l="1"/>
  <c r="P18" i="3"/>
  <c r="R18" i="3"/>
  <c r="K18" i="3"/>
  <c r="S18" i="3" s="1"/>
  <c r="T18" i="3" s="1"/>
  <c r="N17" i="3" l="1"/>
  <c r="D17" i="3"/>
  <c r="Q17" i="3" s="1"/>
  <c r="C17" i="3"/>
  <c r="L17" i="3" s="1"/>
  <c r="B17" i="3"/>
  <c r="K17" i="3" s="1"/>
  <c r="P17" i="3"/>
  <c r="M17" i="3" l="1"/>
  <c r="S17" i="3"/>
  <c r="T17" i="3" s="1"/>
  <c r="O17" i="3"/>
  <c r="R17" i="3" s="1"/>
  <c r="N16" i="3" l="1"/>
  <c r="B16" i="3"/>
  <c r="C16" i="3"/>
  <c r="D16" i="3" l="1"/>
  <c r="M16" i="3" s="1"/>
  <c r="K16" i="3"/>
  <c r="L16" i="3"/>
  <c r="O16" i="3"/>
  <c r="P16" i="3"/>
  <c r="Q16" i="3"/>
  <c r="B12" i="3"/>
  <c r="O12" i="3" s="1"/>
  <c r="C12" i="3"/>
  <c r="P12" i="3" s="1"/>
  <c r="D12" i="3"/>
  <c r="M12" i="3" s="1"/>
  <c r="N12" i="3"/>
  <c r="S16" i="3" l="1"/>
  <c r="T16" i="3" s="1"/>
  <c r="R16" i="3"/>
  <c r="L12" i="3"/>
  <c r="Q12" i="3"/>
  <c r="R12" i="3" s="1"/>
  <c r="S12" i="3" l="1"/>
  <c r="T12" i="3" s="1"/>
  <c r="D15" i="3" l="1"/>
  <c r="M15" i="3" s="1"/>
  <c r="C15" i="3"/>
  <c r="L15" i="3" s="1"/>
  <c r="B15" i="3"/>
  <c r="K15" i="3" s="1"/>
  <c r="O15" i="3" l="1"/>
  <c r="S15" i="3"/>
  <c r="T15" i="3" s="1"/>
  <c r="Q15" i="3"/>
  <c r="P15" i="3"/>
  <c r="N14" i="3"/>
  <c r="R15" i="3" l="1"/>
  <c r="D14" i="3"/>
  <c r="C14" i="3"/>
  <c r="B14" i="3"/>
  <c r="D13" i="3"/>
  <c r="M13" i="3" s="1"/>
  <c r="C13" i="3"/>
  <c r="P13" i="3" s="1"/>
  <c r="B13" i="3"/>
  <c r="O13" i="3" s="1"/>
  <c r="L13" i="3" l="1"/>
  <c r="Q13" i="3"/>
  <c r="R13" i="3" s="1"/>
  <c r="Q14" i="3"/>
  <c r="M14" i="3"/>
  <c r="K13" i="3"/>
  <c r="S13" i="3" s="1"/>
  <c r="T13" i="3" s="1"/>
  <c r="O14" i="3"/>
  <c r="K14" i="3"/>
  <c r="L14" i="3"/>
  <c r="P14" i="3"/>
  <c r="K35" i="3"/>
  <c r="L35" i="3"/>
  <c r="M35" i="3"/>
  <c r="O35" i="3"/>
  <c r="P35" i="3"/>
  <c r="Q35" i="3"/>
  <c r="S14" i="3" l="1"/>
  <c r="T14" i="3" s="1"/>
  <c r="R14" i="3"/>
  <c r="S35" i="3"/>
  <c r="T35" i="3" s="1"/>
  <c r="R35" i="3"/>
</calcChain>
</file>

<file path=xl/sharedStrings.xml><?xml version="1.0" encoding="utf-8"?>
<sst xmlns="http://schemas.openxmlformats.org/spreadsheetml/2006/main" count="32" uniqueCount="24">
  <si>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</si>
  <si>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</si>
  <si>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</si>
  <si>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</si>
  <si>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</si>
  <si>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</si>
  <si>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</si>
  <si>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</si>
  <si>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</si>
  <si>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</si>
  <si>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M</t>
  </si>
  <si>
    <t>P</t>
  </si>
  <si>
    <t>D</t>
  </si>
  <si>
    <t>S/IVA</t>
  </si>
  <si>
    <t>TOTAL IEPS</t>
  </si>
  <si>
    <t>MAG. PREM. DISEL</t>
  </si>
  <si>
    <t>TRABAJO DEL DÍA</t>
  </si>
  <si>
    <t>CAMBIO DE PRECIO</t>
  </si>
  <si>
    <t>MODIFICACIÓN DE INFORMACIÓN</t>
  </si>
  <si>
    <t>PRECIOS CON IVA</t>
  </si>
  <si>
    <t>IMPORTES</t>
  </si>
  <si>
    <t>DÍA</t>
  </si>
  <si>
    <t>DIESEL</t>
  </si>
  <si>
    <t>ESTACIÓN-10092  (FEBRERO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</si>
</sst>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9" tint="-0.499984740745262"/>
      <name val="Arial"/>
      <family val="2"/>
    </font>
    <font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sz val="19"/>
      <name val="Bookman Old Style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9" borderId="0" xfId="1" applyFont="1" applyFill="1" applyBorder="1"/>
    <xf numFmtId="0" fontId="2" fillId="9" borderId="0" xfId="1" applyFont="1" applyFill="1"/>
    <xf numFmtId="0" fontId="2" fillId="11" borderId="7" xfId="1" applyFont="1" applyFill="1" applyBorder="1"/>
    <xf numFmtId="0" fontId="2" fillId="10" borderId="7" xfId="1" applyFont="1" applyFill="1" applyBorder="1"/>
    <xf numFmtId="0" fontId="2" fillId="13" borderId="7" xfId="1" applyFont="1" applyFill="1" applyBorder="1"/>
    <xf numFmtId="0" fontId="7" fillId="10" borderId="4" xfId="1" applyFont="1" applyFill="1" applyBorder="1" applyAlignment="1">
      <alignment horizontal="center"/>
    </xf>
    <xf numFmtId="0" fontId="7" fillId="10" borderId="9" xfId="1" applyFont="1" applyFill="1" applyBorder="1" applyAlignment="1">
      <alignment horizontal="center"/>
    </xf>
    <xf numFmtId="0" fontId="7" fillId="10" borderId="5" xfId="1" applyFont="1" applyFill="1" applyBorder="1" applyAlignment="1">
      <alignment horizontal="center"/>
    </xf>
    <xf numFmtId="0" fontId="7" fillId="10" borderId="6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10" fillId="14" borderId="14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7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8" borderId="14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9" fontId="3" fillId="3" borderId="14" xfId="1" applyNumberFormat="1" applyFont="1" applyFill="1" applyBorder="1" applyAlignment="1">
      <alignment horizontal="center"/>
    </xf>
    <xf numFmtId="9" fontId="3" fillId="3" borderId="15" xfId="1" applyNumberFormat="1" applyFont="1" applyFill="1" applyBorder="1" applyAlignment="1">
      <alignment horizontal="center"/>
    </xf>
    <xf numFmtId="16" fontId="2" fillId="9" borderId="16" xfId="1" applyNumberFormat="1" applyFont="1" applyFill="1" applyBorder="1" applyAlignment="1">
      <alignment horizontal="center"/>
    </xf>
    <xf numFmtId="2" fontId="2" fillId="9" borderId="10" xfId="1" applyNumberFormat="1" applyFont="1" applyFill="1" applyBorder="1" applyAlignment="1">
      <alignment horizontal="center"/>
    </xf>
    <xf numFmtId="2" fontId="4" fillId="9" borderId="10" xfId="1" applyNumberFormat="1" applyFont="1" applyFill="1" applyBorder="1" applyAlignment="1">
      <alignment horizontal="center"/>
    </xf>
    <xf numFmtId="164" fontId="2" fillId="9" borderId="10" xfId="1" applyNumberFormat="1" applyFont="1" applyFill="1" applyBorder="1"/>
    <xf numFmtId="2" fontId="2" fillId="9" borderId="10" xfId="1" applyNumberFormat="1" applyFont="1" applyFill="1" applyBorder="1"/>
    <xf numFmtId="2" fontId="2" fillId="9" borderId="11" xfId="1" applyNumberFormat="1" applyFont="1" applyFill="1" applyBorder="1"/>
    <xf numFmtId="2" fontId="2" fillId="15" borderId="10" xfId="1" applyNumberFormat="1" applyFont="1" applyFill="1" applyBorder="1"/>
    <xf numFmtId="2" fontId="2" fillId="0" borderId="7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/>
    <xf numFmtId="2" fontId="2" fillId="0" borderId="0" xfId="1" applyNumberFormat="1" applyFont="1" applyFill="1"/>
    <xf numFmtId="0" fontId="9" fillId="0" borderId="0" xfId="1" applyFont="1" applyFill="1" applyBorder="1"/>
    <xf numFmtId="2" fontId="4" fillId="0" borderId="10" xfId="1" applyNumberFormat="1" applyFont="1" applyFill="1" applyBorder="1" applyAlignment="1">
      <alignment horizontal="center"/>
    </xf>
    <xf numFmtId="2" fontId="2" fillId="0" borderId="10" xfId="1" applyNumberFormat="1" applyFont="1" applyFill="1" applyBorder="1" applyAlignment="1">
      <alignment horizontal="center"/>
    </xf>
    <xf numFmtId="164" fontId="2" fillId="0" borderId="10" xfId="1" applyNumberFormat="1" applyFont="1" applyFill="1" applyBorder="1"/>
    <xf numFmtId="2" fontId="2" fillId="0" borderId="10" xfId="1" applyNumberFormat="1" applyFont="1" applyFill="1" applyBorder="1"/>
    <xf numFmtId="2" fontId="2" fillId="0" borderId="11" xfId="1" applyNumberFormat="1" applyFont="1" applyFill="1" applyBorder="1"/>
    <xf numFmtId="2" fontId="4" fillId="5" borderId="10" xfId="1" applyNumberFormat="1" applyFont="1" applyFill="1" applyBorder="1" applyAlignment="1">
      <alignment horizontal="center"/>
    </xf>
    <xf numFmtId="2" fontId="2" fillId="5" borderId="10" xfId="1" applyNumberFormat="1" applyFont="1" applyFill="1" applyBorder="1" applyAlignment="1">
      <alignment horizontal="center"/>
    </xf>
    <xf numFmtId="164" fontId="2" fillId="5" borderId="10" xfId="1" applyNumberFormat="1" applyFont="1" applyFill="1" applyBorder="1"/>
    <xf numFmtId="2" fontId="2" fillId="5" borderId="10" xfId="1" applyNumberFormat="1" applyFont="1" applyFill="1" applyBorder="1"/>
    <xf numFmtId="2" fontId="2" fillId="5" borderId="11" xfId="1" applyNumberFormat="1" applyFont="1" applyFill="1" applyBorder="1"/>
    <xf numFmtId="16" fontId="4" fillId="0" borderId="16" xfId="1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164" fontId="4" fillId="0" borderId="10" xfId="1" applyNumberFormat="1" applyFont="1" applyFill="1" applyBorder="1"/>
    <xf numFmtId="2" fontId="4" fillId="0" borderId="10" xfId="1" applyNumberFormat="1" applyFont="1" applyFill="1" applyBorder="1"/>
    <xf numFmtId="2" fontId="4" fillId="0" borderId="11" xfId="1" applyNumberFormat="1" applyFont="1" applyFill="1" applyBorder="1"/>
    <xf numFmtId="0" fontId="4" fillId="0" borderId="0" xfId="1" applyFont="1" applyFill="1"/>
    <xf numFmtId="2" fontId="4" fillId="0" borderId="0" xfId="1" applyNumberFormat="1" applyFont="1" applyFill="1"/>
    <xf numFmtId="0" fontId="4" fillId="0" borderId="0" xfId="1" applyFont="1" applyFill="1" applyBorder="1"/>
    <xf numFmtId="2" fontId="2" fillId="0" borderId="0" xfId="1" applyNumberFormat="1" applyFont="1" applyFill="1" applyBorder="1"/>
    <xf numFmtId="2" fontId="4" fillId="17" borderId="10" xfId="1" applyNumberFormat="1" applyFont="1" applyFill="1" applyBorder="1" applyAlignment="1">
      <alignment horizontal="center"/>
    </xf>
    <xf numFmtId="2" fontId="2" fillId="17" borderId="10" xfId="1" applyNumberFormat="1" applyFont="1" applyFill="1" applyBorder="1" applyAlignment="1">
      <alignment horizontal="center"/>
    </xf>
    <xf numFmtId="164" fontId="2" fillId="17" borderId="10" xfId="1" applyNumberFormat="1" applyFont="1" applyFill="1" applyBorder="1"/>
    <xf numFmtId="16" fontId="2" fillId="18" borderId="16" xfId="1" applyNumberFormat="1" applyFont="1" applyFill="1" applyBorder="1" applyAlignment="1">
      <alignment horizontal="center"/>
    </xf>
    <xf numFmtId="0" fontId="8" fillId="10" borderId="4" xfId="1" applyFont="1" applyFill="1" applyBorder="1" applyAlignment="1">
      <alignment horizontal="center"/>
    </xf>
    <xf numFmtId="0" fontId="8" fillId="10" borderId="5" xfId="1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11" fillId="12" borderId="1" xfId="1" applyFont="1" applyFill="1" applyBorder="1" applyAlignment="1">
      <alignment horizontal="center" vertical="center"/>
    </xf>
    <xf numFmtId="0" fontId="11" fillId="12" borderId="2" xfId="1" applyFont="1" applyFill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top"/>
    </xf>
    <xf numFmtId="0" fontId="3" fillId="16" borderId="9" xfId="1" applyFont="1" applyFill="1" applyBorder="1" applyAlignment="1">
      <alignment horizontal="center" vertical="center" textRotation="45" wrapText="1"/>
    </xf>
    <xf numFmtId="0" fontId="3" fillId="16" borderId="12" xfId="1" applyFont="1" applyFill="1" applyBorder="1" applyAlignment="1">
      <alignment horizontal="center" vertical="center" textRotation="45" wrapText="1"/>
    </xf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FF5B5B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84"/>
  <sheetViews>
    <sheetView tabSelected="1" topLeftCell="H25" zoomScale="90" zoomScaleNormal="90" workbookViewId="0">
      <selection activeCell="Q40" sqref="Q40"/>
    </sheetView>
  </sheetViews>
  <sheetFormatPr baseColWidth="10" defaultColWidth="11.7109375" defaultRowHeight="18" x14ac:dyDescent="0.25"/>
  <cols>
    <col min="1" max="7" width="15.7109375" style="1" customWidth="1"/>
    <col min="8" max="8" width="15.85546875" style="1" customWidth="1"/>
    <col min="9" max="9" width="16.7109375" style="1" customWidth="1"/>
    <col min="10" max="17" width="15.7109375" style="1" customWidth="1"/>
    <col min="18" max="18" width="19.42578125" style="1" customWidth="1"/>
    <col min="19" max="19" width="26.85546875" style="1" customWidth="1"/>
    <col min="20" max="20" width="15.7109375" style="1" customWidth="1"/>
    <col min="21" max="21" width="16" style="1" customWidth="1"/>
    <col min="22" max="22" width="14.5703125" style="1" bestFit="1" customWidth="1"/>
    <col min="23" max="24" width="13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141" ht="12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141" ht="1.5" customHeight="1" thickBot="1" x14ac:dyDescent="0.3"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141" ht="31.5" customHeight="1" thickBot="1" x14ac:dyDescent="0.3">
      <c r="A3" s="63" t="s">
        <v>23</v>
      </c>
      <c r="B3" s="64"/>
      <c r="C3" s="64"/>
      <c r="D3" s="64"/>
      <c r="E3" s="64"/>
      <c r="F3" s="64"/>
      <c r="G3" s="64"/>
      <c r="H3" s="64"/>
      <c r="I3" s="64"/>
      <c r="J3" s="65"/>
      <c r="K3" s="66"/>
      <c r="L3" s="66"/>
      <c r="M3" s="66"/>
      <c r="N3" s="66"/>
      <c r="O3" s="66"/>
      <c r="P3" s="66"/>
      <c r="Q3" s="66"/>
      <c r="R3" s="3"/>
      <c r="S3" s="3"/>
      <c r="T3" s="3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41" s="3" customFormat="1" ht="18" customHeight="1" thickBot="1" x14ac:dyDescent="0.35">
      <c r="A4" s="67" t="s">
        <v>21</v>
      </c>
      <c r="B4" s="62" t="s">
        <v>20</v>
      </c>
      <c r="C4" s="60"/>
      <c r="D4" s="61"/>
      <c r="E4" s="60" t="s">
        <v>19</v>
      </c>
      <c r="F4" s="60"/>
      <c r="G4" s="61"/>
      <c r="H4" s="62" t="s">
        <v>0</v>
      </c>
      <c r="I4" s="60"/>
      <c r="J4" s="61"/>
      <c r="K4" s="62" t="s">
        <v>1</v>
      </c>
      <c r="L4" s="60"/>
      <c r="M4" s="61"/>
      <c r="N4" s="7" t="s">
        <v>2</v>
      </c>
      <c r="O4" s="8"/>
      <c r="P4" s="7" t="s">
        <v>3</v>
      </c>
      <c r="Q4" s="9"/>
      <c r="R4" s="9" t="s">
        <v>4</v>
      </c>
      <c r="S4" s="10" t="s">
        <v>5</v>
      </c>
      <c r="T4" s="10" t="s">
        <v>6</v>
      </c>
      <c r="U4" s="2"/>
    </row>
    <row r="5" spans="1:141" ht="18" customHeight="1" thickBot="1" x14ac:dyDescent="0.35">
      <c r="A5" s="68"/>
      <c r="B5" s="11" t="s">
        <v>7</v>
      </c>
      <c r="C5" s="12" t="s">
        <v>8</v>
      </c>
      <c r="D5" s="13" t="s">
        <v>22</v>
      </c>
      <c r="E5" s="14" t="s">
        <v>10</v>
      </c>
      <c r="F5" s="14" t="s">
        <v>11</v>
      </c>
      <c r="G5" s="14" t="s">
        <v>12</v>
      </c>
      <c r="H5" s="14" t="s">
        <v>7</v>
      </c>
      <c r="I5" s="14" t="s">
        <v>8</v>
      </c>
      <c r="J5" s="14" t="s">
        <v>9</v>
      </c>
      <c r="K5" s="15" t="s">
        <v>7</v>
      </c>
      <c r="L5" s="16" t="s">
        <v>8</v>
      </c>
      <c r="M5" s="17" t="s">
        <v>9</v>
      </c>
      <c r="N5" s="18" t="s">
        <v>13</v>
      </c>
      <c r="O5" s="19" t="s">
        <v>7</v>
      </c>
      <c r="P5" s="19" t="s">
        <v>8</v>
      </c>
      <c r="Q5" s="19" t="s">
        <v>9</v>
      </c>
      <c r="R5" s="20" t="s">
        <v>14</v>
      </c>
      <c r="S5" s="21" t="s">
        <v>15</v>
      </c>
      <c r="T5" s="22">
        <v>0.16</v>
      </c>
      <c r="U5" s="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</row>
    <row r="6" spans="1:141" s="3" customFormat="1" ht="20.25" customHeight="1" thickBot="1" x14ac:dyDescent="0.3">
      <c r="A6" s="23">
        <v>43132</v>
      </c>
      <c r="B6" s="24">
        <v>3807.15</v>
      </c>
      <c r="C6" s="24">
        <v>455.1</v>
      </c>
      <c r="D6" s="24">
        <v>0</v>
      </c>
      <c r="E6" s="25">
        <v>17</v>
      </c>
      <c r="F6" s="24">
        <v>18.8</v>
      </c>
      <c r="G6" s="24">
        <v>0</v>
      </c>
      <c r="H6" s="26">
        <v>14.305861999999999</v>
      </c>
      <c r="I6" s="26">
        <v>15.78069</v>
      </c>
      <c r="J6" s="26">
        <v>0</v>
      </c>
      <c r="K6" s="40">
        <f>B6*H6</f>
        <v>54464.562513299999</v>
      </c>
      <c r="L6" s="40">
        <f t="shared" ref="L6" si="0">C6*I6</f>
        <v>7181.7920190000004</v>
      </c>
      <c r="M6" s="40">
        <f t="shared" ref="M6" si="1">D6*J6</f>
        <v>0</v>
      </c>
      <c r="N6" s="40">
        <v>190.51</v>
      </c>
      <c r="O6" s="40">
        <f t="shared" ref="O6" si="2">B6*0.4052</f>
        <v>1542.6571800000002</v>
      </c>
      <c r="P6" s="40">
        <f t="shared" ref="P6" si="3">C6*0.4944</f>
        <v>225.00144</v>
      </c>
      <c r="Q6" s="40">
        <f t="shared" ref="Q6" si="4">D6*0.3363</f>
        <v>0</v>
      </c>
      <c r="R6" s="40">
        <f t="shared" ref="R6" si="5">O6+P6+Q6</f>
        <v>1767.6586200000002</v>
      </c>
      <c r="S6" s="40">
        <f t="shared" ref="S6" si="6">SUM(K6+L6+M6+N6)</f>
        <v>61836.864532300002</v>
      </c>
      <c r="T6" s="41">
        <f t="shared" ref="T6" si="7">S6*16%</f>
        <v>9893.8983251680002</v>
      </c>
      <c r="U6" s="2"/>
    </row>
    <row r="7" spans="1:141" s="34" customFormat="1" ht="18" customHeight="1" thickBot="1" x14ac:dyDescent="0.3">
      <c r="A7" s="32">
        <v>43133</v>
      </c>
      <c r="B7" s="30">
        <v>1520.2</v>
      </c>
      <c r="C7" s="30">
        <v>273.51</v>
      </c>
      <c r="D7" s="31">
        <v>0</v>
      </c>
      <c r="E7" s="25">
        <v>17</v>
      </c>
      <c r="F7" s="24">
        <v>18.8</v>
      </c>
      <c r="G7" s="24">
        <v>0</v>
      </c>
      <c r="H7" s="26">
        <v>14.305861999999999</v>
      </c>
      <c r="I7" s="26">
        <v>15.78069</v>
      </c>
      <c r="J7" s="26">
        <v>0</v>
      </c>
      <c r="K7" s="40">
        <f>B7*H7</f>
        <v>21747.771412400001</v>
      </c>
      <c r="L7" s="40">
        <f t="shared" ref="L7" si="8">C7*I7</f>
        <v>4316.1765218999999</v>
      </c>
      <c r="M7" s="40">
        <f t="shared" ref="M7" si="9">D7*J7</f>
        <v>0</v>
      </c>
      <c r="N7" s="40">
        <v>349.14</v>
      </c>
      <c r="O7" s="40">
        <f t="shared" ref="O7" si="10">B7*0.4052</f>
        <v>615.98504000000003</v>
      </c>
      <c r="P7" s="40">
        <f t="shared" ref="P7" si="11">C7*0.4944</f>
        <v>135.223344</v>
      </c>
      <c r="Q7" s="40">
        <f t="shared" ref="Q7" si="12">D7*0.3363</f>
        <v>0</v>
      </c>
      <c r="R7" s="40">
        <f t="shared" ref="R7" si="13">O7+P7+Q7</f>
        <v>751.20838400000002</v>
      </c>
      <c r="S7" s="40">
        <f t="shared" ref="S7" si="14">SUM(K7+L7+M7+N7)</f>
        <v>26413.087934300002</v>
      </c>
      <c r="T7" s="41">
        <f t="shared" ref="T7" si="15">S7*16%</f>
        <v>4226.0940694880001</v>
      </c>
      <c r="U7" s="33"/>
    </row>
    <row r="8" spans="1:141" s="34" customFormat="1" ht="18" customHeight="1" thickBot="1" x14ac:dyDescent="0.3">
      <c r="A8" s="32">
        <v>43133</v>
      </c>
      <c r="B8" s="30">
        <v>3187.17</v>
      </c>
      <c r="C8" s="30">
        <v>493.85</v>
      </c>
      <c r="D8" s="31">
        <v>0</v>
      </c>
      <c r="E8" s="56">
        <v>17.2</v>
      </c>
      <c r="F8" s="57">
        <v>18.850000000000001</v>
      </c>
      <c r="G8" s="57">
        <v>17.350000000000001</v>
      </c>
      <c r="H8" s="58">
        <v>14.478275999999999</v>
      </c>
      <c r="I8" s="58">
        <v>15.823793</v>
      </c>
      <c r="J8" s="58">
        <v>14.666983</v>
      </c>
      <c r="K8" s="40">
        <f>B8*H8</f>
        <v>46144.726918920001</v>
      </c>
      <c r="L8" s="40">
        <f t="shared" ref="L8" si="16">C8*I8</f>
        <v>7814.5801730500007</v>
      </c>
      <c r="M8" s="40">
        <f t="shared" ref="M8" si="17">D8*J8</f>
        <v>0</v>
      </c>
      <c r="N8" s="40">
        <v>99.14</v>
      </c>
      <c r="O8" s="40">
        <f t="shared" ref="O8" si="18">B8*0.4052</f>
        <v>1291.441284</v>
      </c>
      <c r="P8" s="40">
        <f t="shared" ref="P8" si="19">C8*0.4944</f>
        <v>244.15944000000002</v>
      </c>
      <c r="Q8" s="40">
        <f t="shared" ref="Q8" si="20">D8*0.3363</f>
        <v>0</v>
      </c>
      <c r="R8" s="40">
        <f t="shared" ref="R8" si="21">O8+P8+Q8</f>
        <v>1535.6007239999999</v>
      </c>
      <c r="S8" s="40">
        <f t="shared" ref="S8" si="22">SUM(K8+L8+M8+N8)</f>
        <v>54058.447091970003</v>
      </c>
      <c r="T8" s="41">
        <f t="shared" ref="T8" si="23">S8*16%</f>
        <v>8649.3515347152006</v>
      </c>
      <c r="U8" s="33"/>
    </row>
    <row r="9" spans="1:141" s="34" customFormat="1" ht="18" customHeight="1" thickBot="1" x14ac:dyDescent="0.3">
      <c r="A9" s="32">
        <v>43134</v>
      </c>
      <c r="B9" s="30">
        <v>2492.35</v>
      </c>
      <c r="C9" s="30">
        <v>1131.8800000000001</v>
      </c>
      <c r="D9" s="31">
        <v>0</v>
      </c>
      <c r="E9" s="37">
        <v>17.2</v>
      </c>
      <c r="F9" s="38">
        <v>18.850000000000001</v>
      </c>
      <c r="G9" s="38">
        <v>17.350000000000001</v>
      </c>
      <c r="H9" s="39">
        <v>14.478275999999999</v>
      </c>
      <c r="I9" s="39">
        <v>15.823793</v>
      </c>
      <c r="J9" s="39">
        <v>14.666983</v>
      </c>
      <c r="K9" s="40">
        <f t="shared" ref="K9:K10" si="24">B9*H9</f>
        <v>36084.9311886</v>
      </c>
      <c r="L9" s="40">
        <f t="shared" ref="L9:L10" si="25">C9*I9</f>
        <v>17910.634820840001</v>
      </c>
      <c r="M9" s="40">
        <f t="shared" ref="M9:M10" si="26">D9*J9</f>
        <v>0</v>
      </c>
      <c r="N9" s="40">
        <v>284.48</v>
      </c>
      <c r="O9" s="40">
        <f t="shared" ref="O9:O10" si="27">B9*0.4052</f>
        <v>1009.90022</v>
      </c>
      <c r="P9" s="40">
        <f t="shared" ref="P9:P10" si="28">C9*0.4944</f>
        <v>559.60147200000006</v>
      </c>
      <c r="Q9" s="40">
        <f t="shared" ref="Q9:Q10" si="29">D9*0.3363</f>
        <v>0</v>
      </c>
      <c r="R9" s="40">
        <f t="shared" ref="R9:R10" si="30">O9+P9+Q9</f>
        <v>1569.501692</v>
      </c>
      <c r="S9" s="40">
        <f t="shared" ref="S9:S10" si="31">SUM(K9+L9+M9+N9)</f>
        <v>54280.046009440004</v>
      </c>
      <c r="T9" s="41">
        <f t="shared" ref="T9:T10" si="32">S9*16%</f>
        <v>8684.8073615104004</v>
      </c>
      <c r="U9" s="33"/>
    </row>
    <row r="10" spans="1:141" s="34" customFormat="1" ht="18" customHeight="1" thickBot="1" x14ac:dyDescent="0.3">
      <c r="A10" s="32">
        <v>43135</v>
      </c>
      <c r="B10" s="30">
        <v>2570.04</v>
      </c>
      <c r="C10" s="30">
        <v>498.55</v>
      </c>
      <c r="D10" s="31">
        <v>0</v>
      </c>
      <c r="E10" s="37">
        <v>17.2</v>
      </c>
      <c r="F10" s="38">
        <v>18.850000000000001</v>
      </c>
      <c r="G10" s="38">
        <v>17.350000000000001</v>
      </c>
      <c r="H10" s="39">
        <v>14.478275999999999</v>
      </c>
      <c r="I10" s="39">
        <v>15.823793</v>
      </c>
      <c r="J10" s="39">
        <v>14.666983</v>
      </c>
      <c r="K10" s="40">
        <f t="shared" si="24"/>
        <v>37209.748451039995</v>
      </c>
      <c r="L10" s="40">
        <f t="shared" si="25"/>
        <v>7888.9520001500005</v>
      </c>
      <c r="M10" s="40">
        <f t="shared" si="26"/>
        <v>0</v>
      </c>
      <c r="N10" s="40">
        <v>241.38</v>
      </c>
      <c r="O10" s="40">
        <f t="shared" si="27"/>
        <v>1041.380208</v>
      </c>
      <c r="P10" s="40">
        <f t="shared" si="28"/>
        <v>246.48312000000001</v>
      </c>
      <c r="Q10" s="40">
        <f t="shared" si="29"/>
        <v>0</v>
      </c>
      <c r="R10" s="40">
        <f t="shared" si="30"/>
        <v>1287.8633280000001</v>
      </c>
      <c r="S10" s="40">
        <f t="shared" si="31"/>
        <v>45340.080451189991</v>
      </c>
      <c r="T10" s="41">
        <f t="shared" si="32"/>
        <v>7254.412872190399</v>
      </c>
      <c r="U10" s="33"/>
    </row>
    <row r="11" spans="1:141" s="34" customFormat="1" ht="18" customHeight="1" thickBot="1" x14ac:dyDescent="0.3">
      <c r="A11" s="32">
        <v>43136</v>
      </c>
      <c r="B11" s="30">
        <v>3226.8</v>
      </c>
      <c r="C11" s="30">
        <v>465.24</v>
      </c>
      <c r="D11" s="31">
        <v>0</v>
      </c>
      <c r="E11" s="37">
        <v>17.2</v>
      </c>
      <c r="F11" s="38">
        <v>18.850000000000001</v>
      </c>
      <c r="G11" s="38">
        <v>17.350000000000001</v>
      </c>
      <c r="H11" s="39">
        <v>14.478275999999999</v>
      </c>
      <c r="I11" s="39">
        <v>15.823793</v>
      </c>
      <c r="J11" s="39">
        <v>14.666983</v>
      </c>
      <c r="K11" s="40">
        <f t="shared" ref="K11" si="33">B11*H11</f>
        <v>46718.500996800001</v>
      </c>
      <c r="L11" s="40">
        <f t="shared" ref="L11" si="34">C11*I11</f>
        <v>7361.8614553200005</v>
      </c>
      <c r="M11" s="40">
        <f t="shared" ref="M11" si="35">D11*J11</f>
        <v>0</v>
      </c>
      <c r="N11" s="40">
        <v>202.59</v>
      </c>
      <c r="O11" s="40">
        <f t="shared" ref="O11" si="36">B11*0.4052</f>
        <v>1307.49936</v>
      </c>
      <c r="P11" s="40">
        <f t="shared" ref="P11" si="37">C11*0.4944</f>
        <v>230.014656</v>
      </c>
      <c r="Q11" s="40">
        <f t="shared" ref="Q11" si="38">D11*0.3363</f>
        <v>0</v>
      </c>
      <c r="R11" s="40">
        <f t="shared" ref="R11" si="39">O11+P11+Q11</f>
        <v>1537.5140160000001</v>
      </c>
      <c r="S11" s="40">
        <f t="shared" ref="S11" si="40">SUM(K11+L11+M11+N11)</f>
        <v>54282.95245212</v>
      </c>
      <c r="T11" s="41">
        <f t="shared" ref="T11" si="41">S11*16%</f>
        <v>8685.2723923392005</v>
      </c>
      <c r="U11" s="33"/>
    </row>
    <row r="12" spans="1:141" s="34" customFormat="1" ht="18" customHeight="1" thickBot="1" x14ac:dyDescent="0.3">
      <c r="A12" s="32">
        <v>43137</v>
      </c>
      <c r="B12" s="30">
        <f>1917.6+1635.34+151.34</f>
        <v>3704.2799999999997</v>
      </c>
      <c r="C12" s="30">
        <f>49.42+274.12+254.12</f>
        <v>577.66000000000008</v>
      </c>
      <c r="D12" s="31">
        <f t="shared" ref="D12:D18" si="42">0+0+0</f>
        <v>0</v>
      </c>
      <c r="E12" s="37">
        <v>17.2</v>
      </c>
      <c r="F12" s="38">
        <v>18.850000000000001</v>
      </c>
      <c r="G12" s="38">
        <v>17.350000000000001</v>
      </c>
      <c r="H12" s="39">
        <v>14.478275999999999</v>
      </c>
      <c r="I12" s="39">
        <v>15.823793</v>
      </c>
      <c r="J12" s="39">
        <v>14.666983</v>
      </c>
      <c r="K12" s="40">
        <f>B12*H12</f>
        <v>53631.588221279992</v>
      </c>
      <c r="L12" s="40">
        <f t="shared" ref="L12:L35" si="43">C12*I12</f>
        <v>9140.7722643800007</v>
      </c>
      <c r="M12" s="40">
        <f t="shared" ref="M12:M35" si="44">D12*J12</f>
        <v>0</v>
      </c>
      <c r="N12" s="40">
        <f>215.52+155.17</f>
        <v>370.69</v>
      </c>
      <c r="O12" s="40">
        <f t="shared" ref="O12:O35" si="45">B12*0.4052</f>
        <v>1500.974256</v>
      </c>
      <c r="P12" s="40">
        <f t="shared" ref="P12:P35" si="46">C12*0.4944</f>
        <v>285.59510400000005</v>
      </c>
      <c r="Q12" s="40">
        <f t="shared" ref="Q12:Q35" si="47">D12*0.3363</f>
        <v>0</v>
      </c>
      <c r="R12" s="40">
        <f t="shared" ref="R12:R35" si="48">O12+P12+Q12</f>
        <v>1786.56936</v>
      </c>
      <c r="S12" s="40">
        <f t="shared" ref="S12:S35" si="49">SUM(K12+L12+M12+N12)</f>
        <v>63143.050485659995</v>
      </c>
      <c r="T12" s="41">
        <f t="shared" ref="T12:T36" si="50">S12*16%</f>
        <v>10102.8880777056</v>
      </c>
    </row>
    <row r="13" spans="1:141" s="34" customFormat="1" ht="18" customHeight="1" thickBot="1" x14ac:dyDescent="0.3">
      <c r="A13" s="32">
        <v>43138</v>
      </c>
      <c r="B13" s="30">
        <f>239.43+1594.02+1708.84</f>
        <v>3542.29</v>
      </c>
      <c r="C13" s="30">
        <f>143.09+279.09+153.23</f>
        <v>575.41</v>
      </c>
      <c r="D13" s="31">
        <f t="shared" si="42"/>
        <v>0</v>
      </c>
      <c r="E13" s="37">
        <v>17.2</v>
      </c>
      <c r="F13" s="38">
        <v>18.850000000000001</v>
      </c>
      <c r="G13" s="38">
        <v>17.350000000000001</v>
      </c>
      <c r="H13" s="39">
        <v>14.478275999999999</v>
      </c>
      <c r="I13" s="39">
        <v>15.823793</v>
      </c>
      <c r="J13" s="39">
        <v>14.666983</v>
      </c>
      <c r="K13" s="40">
        <f t="shared" ref="K13" si="51">B13*H13</f>
        <v>51286.252292039993</v>
      </c>
      <c r="L13" s="40">
        <f t="shared" ref="L13" si="52">C13*I13</f>
        <v>9105.1687301299989</v>
      </c>
      <c r="M13" s="40">
        <f t="shared" ref="M13" si="53">D13*J13</f>
        <v>0</v>
      </c>
      <c r="N13" s="40">
        <v>219.83</v>
      </c>
      <c r="O13" s="40">
        <f t="shared" ref="O13" si="54">B13*0.4052</f>
        <v>1435.335908</v>
      </c>
      <c r="P13" s="40">
        <f t="shared" ref="P13" si="55">C13*0.4944</f>
        <v>284.48270400000001</v>
      </c>
      <c r="Q13" s="40">
        <f t="shared" ref="Q13" si="56">D13*0.3363</f>
        <v>0</v>
      </c>
      <c r="R13" s="40">
        <f t="shared" ref="R13" si="57">O13+P13+Q13</f>
        <v>1719.818612</v>
      </c>
      <c r="S13" s="40">
        <f t="shared" ref="S13" si="58">SUM(K13+L13+M13+N13)</f>
        <v>60611.251022169992</v>
      </c>
      <c r="T13" s="41">
        <f t="shared" ref="T13" si="59">S13*16%</f>
        <v>9697.8001635471992</v>
      </c>
    </row>
    <row r="14" spans="1:141" s="34" customFormat="1" ht="18" customHeight="1" thickBot="1" x14ac:dyDescent="0.3">
      <c r="A14" s="32">
        <v>43139</v>
      </c>
      <c r="B14" s="30">
        <f>1713.76+1450.75+235.75</f>
        <v>3400.26</v>
      </c>
      <c r="C14" s="30">
        <f>12.86+182.99+250.3</f>
        <v>446.15000000000003</v>
      </c>
      <c r="D14" s="31">
        <f t="shared" si="42"/>
        <v>0</v>
      </c>
      <c r="E14" s="37">
        <v>17.2</v>
      </c>
      <c r="F14" s="38">
        <v>18.850000000000001</v>
      </c>
      <c r="G14" s="38">
        <v>17.350000000000001</v>
      </c>
      <c r="H14" s="39">
        <v>14.478275999999999</v>
      </c>
      <c r="I14" s="39">
        <v>15.823793</v>
      </c>
      <c r="J14" s="39">
        <v>14.666983</v>
      </c>
      <c r="K14" s="40">
        <f t="shared" ref="K14" si="60">B14*H14</f>
        <v>49229.902751759997</v>
      </c>
      <c r="L14" s="40">
        <f t="shared" ref="L14" si="61">C14*I14</f>
        <v>7059.7852469500003</v>
      </c>
      <c r="M14" s="40">
        <f t="shared" ref="M14" si="62">D14*J14</f>
        <v>0</v>
      </c>
      <c r="N14" s="40">
        <f>56.03+56.03</f>
        <v>112.06</v>
      </c>
      <c r="O14" s="40">
        <f t="shared" ref="O14" si="63">B14*0.4052</f>
        <v>1377.7853520000001</v>
      </c>
      <c r="P14" s="40">
        <f t="shared" ref="P14" si="64">C14*0.4944</f>
        <v>220.57656000000003</v>
      </c>
      <c r="Q14" s="40">
        <f t="shared" ref="Q14" si="65">D14*0.3363</f>
        <v>0</v>
      </c>
      <c r="R14" s="40">
        <f t="shared" ref="R14" si="66">O14+P14+Q14</f>
        <v>1598.3619120000001</v>
      </c>
      <c r="S14" s="40">
        <f t="shared" ref="S14" si="67">SUM(K14+L14+M14+N14)</f>
        <v>56401.747998709994</v>
      </c>
      <c r="T14" s="41">
        <f t="shared" ref="T14" si="68">S14*16%</f>
        <v>9024.2796797935989</v>
      </c>
    </row>
    <row r="15" spans="1:141" s="34" customFormat="1" ht="18" customHeight="1" thickBot="1" x14ac:dyDescent="0.3">
      <c r="A15" s="32">
        <v>43140</v>
      </c>
      <c r="B15" s="30">
        <f>155.4+1537.47+1972.35</f>
        <v>3665.2200000000003</v>
      </c>
      <c r="C15" s="30">
        <f>51.87+219.95+254.02</f>
        <v>525.84</v>
      </c>
      <c r="D15" s="31">
        <f t="shared" si="42"/>
        <v>0</v>
      </c>
      <c r="E15" s="37">
        <v>17.2</v>
      </c>
      <c r="F15" s="38">
        <v>18.850000000000001</v>
      </c>
      <c r="G15" s="38">
        <v>17.350000000000001</v>
      </c>
      <c r="H15" s="39">
        <v>14.478275999999999</v>
      </c>
      <c r="I15" s="39">
        <v>15.823793</v>
      </c>
      <c r="J15" s="39">
        <v>14.666983</v>
      </c>
      <c r="K15" s="40">
        <f t="shared" ref="K15" si="69">B15*H15</f>
        <v>53066.066760720001</v>
      </c>
      <c r="L15" s="40">
        <f t="shared" ref="L15" si="70">C15*I15</f>
        <v>8320.7833111199998</v>
      </c>
      <c r="M15" s="40">
        <f t="shared" ref="M15" si="71">D15*J15</f>
        <v>0</v>
      </c>
      <c r="N15" s="40">
        <v>241.39</v>
      </c>
      <c r="O15" s="40">
        <f t="shared" ref="O15" si="72">B15*0.4052</f>
        <v>1485.147144</v>
      </c>
      <c r="P15" s="40">
        <f t="shared" ref="P15" si="73">C15*0.4944</f>
        <v>259.97529600000001</v>
      </c>
      <c r="Q15" s="40">
        <f t="shared" ref="Q15" si="74">D15*0.3363</f>
        <v>0</v>
      </c>
      <c r="R15" s="40">
        <f t="shared" ref="R15" si="75">O15+P15+Q15</f>
        <v>1745.1224400000001</v>
      </c>
      <c r="S15" s="40">
        <f t="shared" ref="S15" si="76">SUM(K15+L15+M15+N15)</f>
        <v>61628.240071840002</v>
      </c>
      <c r="T15" s="41">
        <f t="shared" ref="T15" si="77">S15*16%</f>
        <v>9860.5184114944004</v>
      </c>
    </row>
    <row r="16" spans="1:141" s="34" customFormat="1" ht="18" customHeight="1" thickBot="1" x14ac:dyDescent="0.3">
      <c r="A16" s="32">
        <v>43141</v>
      </c>
      <c r="B16" s="30">
        <f>1594.18+2006.53+364.53</f>
        <v>3965.24</v>
      </c>
      <c r="C16" s="30">
        <f>36.28+376.2+305.88</f>
        <v>718.36</v>
      </c>
      <c r="D16" s="31">
        <f t="shared" si="42"/>
        <v>0</v>
      </c>
      <c r="E16" s="37">
        <v>17.2</v>
      </c>
      <c r="F16" s="38">
        <v>18.850000000000001</v>
      </c>
      <c r="G16" s="38">
        <v>17.350000000000001</v>
      </c>
      <c r="H16" s="39">
        <v>14.478275999999999</v>
      </c>
      <c r="I16" s="39">
        <v>15.823793</v>
      </c>
      <c r="J16" s="39">
        <v>14.666983</v>
      </c>
      <c r="K16" s="40">
        <f t="shared" ref="K16" si="78">B16*H16</f>
        <v>57409.839126239996</v>
      </c>
      <c r="L16" s="40">
        <f t="shared" ref="L16" si="79">C16*I16</f>
        <v>11367.17993948</v>
      </c>
      <c r="M16" s="40">
        <f t="shared" ref="M16" si="80">D16*J16</f>
        <v>0</v>
      </c>
      <c r="N16" s="40">
        <f>25.86+137.93</f>
        <v>163.79000000000002</v>
      </c>
      <c r="O16" s="40">
        <f t="shared" ref="O16" si="81">B16*0.4052</f>
        <v>1606.715248</v>
      </c>
      <c r="P16" s="40">
        <f t="shared" ref="P16" si="82">C16*0.4944</f>
        <v>355.15718400000003</v>
      </c>
      <c r="Q16" s="40">
        <f t="shared" ref="Q16" si="83">D16*0.3363</f>
        <v>0</v>
      </c>
      <c r="R16" s="40">
        <f t="shared" ref="R16" si="84">O16+P16+Q16</f>
        <v>1961.8724320000001</v>
      </c>
      <c r="S16" s="40">
        <f t="shared" ref="S16" si="85">SUM(K16+L16+M16+N16)</f>
        <v>68940.809065719994</v>
      </c>
      <c r="T16" s="41">
        <f t="shared" ref="T16" si="86">S16*16%</f>
        <v>11030.5294505152</v>
      </c>
    </row>
    <row r="17" spans="1:28" s="34" customFormat="1" ht="18" customHeight="1" thickBot="1" x14ac:dyDescent="0.3">
      <c r="A17" s="32">
        <v>43142</v>
      </c>
      <c r="B17" s="30">
        <f>295.9+1435.67+1549.53</f>
        <v>3281.1000000000004</v>
      </c>
      <c r="C17" s="30">
        <f>231.75+164.96+35.97</f>
        <v>432.68000000000006</v>
      </c>
      <c r="D17" s="31">
        <f t="shared" si="42"/>
        <v>0</v>
      </c>
      <c r="E17" s="37">
        <v>17.2</v>
      </c>
      <c r="F17" s="38">
        <v>18.850000000000001</v>
      </c>
      <c r="G17" s="38">
        <v>17.350000000000001</v>
      </c>
      <c r="H17" s="39">
        <v>14.478275999999999</v>
      </c>
      <c r="I17" s="39">
        <v>15.823793</v>
      </c>
      <c r="J17" s="39">
        <v>14.666983</v>
      </c>
      <c r="K17" s="40">
        <f t="shared" ref="K17" si="87">B17*H17</f>
        <v>47504.671383600005</v>
      </c>
      <c r="L17" s="40">
        <f t="shared" ref="L17" si="88">C17*I17</f>
        <v>6846.638755240001</v>
      </c>
      <c r="M17" s="40">
        <f t="shared" ref="M17" si="89">D17*J17</f>
        <v>0</v>
      </c>
      <c r="N17" s="40">
        <f>86.21+185.34</f>
        <v>271.55</v>
      </c>
      <c r="O17" s="40">
        <f t="shared" ref="O17" si="90">B17*0.4052</f>
        <v>1329.5017200000002</v>
      </c>
      <c r="P17" s="40">
        <f t="shared" ref="P17" si="91">C17*0.4944</f>
        <v>213.91699200000002</v>
      </c>
      <c r="Q17" s="40">
        <f t="shared" ref="Q17" si="92">D17*0.3363</f>
        <v>0</v>
      </c>
      <c r="R17" s="40">
        <f t="shared" ref="R17" si="93">O17+P17+Q17</f>
        <v>1543.4187120000001</v>
      </c>
      <c r="S17" s="40">
        <f t="shared" ref="S17" si="94">SUM(K17+L17+M17+N17)</f>
        <v>54622.860138840013</v>
      </c>
      <c r="T17" s="41">
        <f t="shared" ref="T17" si="95">S17*16%</f>
        <v>8739.6576222144031</v>
      </c>
    </row>
    <row r="18" spans="1:28" s="34" customFormat="1" ht="18" customHeight="1" thickBot="1" x14ac:dyDescent="0.3">
      <c r="A18" s="32">
        <v>43143</v>
      </c>
      <c r="B18" s="30">
        <f>187.25+1559.7+1653.47</f>
        <v>3400.42</v>
      </c>
      <c r="C18" s="30">
        <f>321.4+99.06+15.91</f>
        <v>436.37</v>
      </c>
      <c r="D18" s="31">
        <f t="shared" si="42"/>
        <v>0</v>
      </c>
      <c r="E18" s="37">
        <v>17.2</v>
      </c>
      <c r="F18" s="38">
        <v>18.850000000000001</v>
      </c>
      <c r="G18" s="38">
        <v>17.350000000000001</v>
      </c>
      <c r="H18" s="39">
        <v>14.478275999999999</v>
      </c>
      <c r="I18" s="39">
        <v>15.823793</v>
      </c>
      <c r="J18" s="39">
        <v>14.666983</v>
      </c>
      <c r="K18" s="40">
        <f t="shared" ref="K18" si="96">B18*H18</f>
        <v>49232.219275919997</v>
      </c>
      <c r="L18" s="40">
        <f t="shared" ref="L18" si="97">C18*I18</f>
        <v>6905.0285514100005</v>
      </c>
      <c r="M18" s="40">
        <f t="shared" ref="M18" si="98">D18*J18</f>
        <v>0</v>
      </c>
      <c r="N18" s="40">
        <f>306.03+202.59+43.1</f>
        <v>551.72</v>
      </c>
      <c r="O18" s="40">
        <f t="shared" ref="O18" si="99">B18*0.4052</f>
        <v>1377.8501840000001</v>
      </c>
      <c r="P18" s="40">
        <f t="shared" ref="P18" si="100">C18*0.4944</f>
        <v>215.74132800000001</v>
      </c>
      <c r="Q18" s="40">
        <f t="shared" ref="Q18" si="101">D18*0.3363</f>
        <v>0</v>
      </c>
      <c r="R18" s="40">
        <f t="shared" ref="R18" si="102">O18+P18+Q18</f>
        <v>1593.5915120000002</v>
      </c>
      <c r="S18" s="40">
        <f t="shared" ref="S18" si="103">SUM(K18+L18+M18+N18)</f>
        <v>56688.967827330001</v>
      </c>
      <c r="T18" s="41">
        <f t="shared" ref="T18" si="104">S18*16%</f>
        <v>9070.2348523727997</v>
      </c>
    </row>
    <row r="19" spans="1:28" s="34" customFormat="1" ht="18" customHeight="1" thickBot="1" x14ac:dyDescent="0.3">
      <c r="A19" s="32">
        <v>43144</v>
      </c>
      <c r="B19" s="30">
        <f>1434.39+1542.29+179.35</f>
        <v>3156.03</v>
      </c>
      <c r="C19" s="30">
        <f>61.47+177.28+300.97</f>
        <v>539.72</v>
      </c>
      <c r="D19" s="30">
        <f>0+0+0</f>
        <v>0</v>
      </c>
      <c r="E19" s="37">
        <v>17.2</v>
      </c>
      <c r="F19" s="38">
        <v>18.850000000000001</v>
      </c>
      <c r="G19" s="38">
        <v>17.350000000000001</v>
      </c>
      <c r="H19" s="39">
        <v>14.478275999999999</v>
      </c>
      <c r="I19" s="39">
        <v>15.823793</v>
      </c>
      <c r="J19" s="39">
        <v>14.666983</v>
      </c>
      <c r="K19" s="40">
        <f t="shared" ref="K19" si="105">B19*H19</f>
        <v>45693.873404279999</v>
      </c>
      <c r="L19" s="40">
        <f t="shared" ref="L19" si="106">C19*I19</f>
        <v>8540.4175579600014</v>
      </c>
      <c r="M19" s="40">
        <f t="shared" ref="M19" si="107">D19*J19</f>
        <v>0</v>
      </c>
      <c r="N19" s="40">
        <f>237.07+146.55+137.93</f>
        <v>521.54999999999995</v>
      </c>
      <c r="O19" s="40">
        <f t="shared" ref="O19" si="108">B19*0.4052</f>
        <v>1278.8233560000001</v>
      </c>
      <c r="P19" s="40">
        <f t="shared" ref="P19" si="109">C19*0.4944</f>
        <v>266.83756800000003</v>
      </c>
      <c r="Q19" s="40">
        <f t="shared" ref="Q19" si="110">D19*0.3363</f>
        <v>0</v>
      </c>
      <c r="R19" s="40">
        <f t="shared" ref="R19" si="111">O19+P19+Q19</f>
        <v>1545.6609240000003</v>
      </c>
      <c r="S19" s="40">
        <f t="shared" ref="S19" si="112">SUM(K19+L19+M19+N19)</f>
        <v>54755.840962240007</v>
      </c>
      <c r="T19" s="41">
        <f t="shared" ref="T19" si="113">S19*16%</f>
        <v>8760.934553958401</v>
      </c>
    </row>
    <row r="20" spans="1:28" s="34" customFormat="1" ht="18" customHeight="1" thickBot="1" x14ac:dyDescent="0.3">
      <c r="A20" s="32">
        <v>43145</v>
      </c>
      <c r="B20" s="30">
        <f>1693.01+172.7+1920.08</f>
        <v>3785.79</v>
      </c>
      <c r="C20" s="30">
        <f>231.36+31.82+145.48</f>
        <v>408.65999999999997</v>
      </c>
      <c r="D20" s="30">
        <f>0+0+0</f>
        <v>0</v>
      </c>
      <c r="E20" s="37">
        <v>17.2</v>
      </c>
      <c r="F20" s="38">
        <v>18.850000000000001</v>
      </c>
      <c r="G20" s="38">
        <v>17.350000000000001</v>
      </c>
      <c r="H20" s="39">
        <v>14.478275999999999</v>
      </c>
      <c r="I20" s="39">
        <v>15.823793</v>
      </c>
      <c r="J20" s="39">
        <v>14.666983</v>
      </c>
      <c r="K20" s="40">
        <f t="shared" ref="K20" si="114">B20*H20</f>
        <v>54811.712498039997</v>
      </c>
      <c r="L20" s="40">
        <f t="shared" ref="L20" si="115">C20*I20</f>
        <v>6466.5512473799999</v>
      </c>
      <c r="M20" s="40">
        <f t="shared" ref="M20" si="116">D20*J20</f>
        <v>0</v>
      </c>
      <c r="N20" s="40">
        <v>189.66</v>
      </c>
      <c r="O20" s="40">
        <f t="shared" ref="O20" si="117">B20*0.4052</f>
        <v>1534.0021079999999</v>
      </c>
      <c r="P20" s="40">
        <f t="shared" ref="P20" si="118">C20*0.4944</f>
        <v>202.04150399999997</v>
      </c>
      <c r="Q20" s="40">
        <f t="shared" ref="Q20" si="119">D20*0.3363</f>
        <v>0</v>
      </c>
      <c r="R20" s="40">
        <f t="shared" ref="R20" si="120">O20+P20+Q20</f>
        <v>1736.0436119999999</v>
      </c>
      <c r="S20" s="40">
        <f t="shared" ref="S20" si="121">SUM(K20+L20+M20+N20)</f>
        <v>61467.923745419997</v>
      </c>
      <c r="T20" s="41">
        <f t="shared" ref="T20" si="122">S20*16%</f>
        <v>9834.8677992672001</v>
      </c>
    </row>
    <row r="21" spans="1:28" s="34" customFormat="1" ht="18" customHeight="1" thickBot="1" x14ac:dyDescent="0.3">
      <c r="A21" s="32">
        <v>43146</v>
      </c>
      <c r="B21" s="30">
        <f>204.02+1608.78+2073.45-2</f>
        <v>3884.25</v>
      </c>
      <c r="C21" s="30">
        <f>193.94+27.19+350.17</f>
        <v>571.29999999999995</v>
      </c>
      <c r="D21" s="30">
        <v>0</v>
      </c>
      <c r="E21" s="37">
        <v>17.2</v>
      </c>
      <c r="F21" s="38">
        <v>18.850000000000001</v>
      </c>
      <c r="G21" s="38">
        <v>17.350000000000001</v>
      </c>
      <c r="H21" s="39">
        <v>14.478275999999999</v>
      </c>
      <c r="I21" s="39">
        <v>15.823793</v>
      </c>
      <c r="J21" s="39">
        <v>14.666983</v>
      </c>
      <c r="K21" s="40">
        <f t="shared" ref="K21" si="123">B21*H21</f>
        <v>56237.243553</v>
      </c>
      <c r="L21" s="40">
        <f t="shared" ref="L21" si="124">C21*I21</f>
        <v>9040.1329408999991</v>
      </c>
      <c r="M21" s="40">
        <f t="shared" ref="M21" si="125">D21*J21</f>
        <v>0</v>
      </c>
      <c r="N21" s="40">
        <f>116.38+163.79</f>
        <v>280.16999999999996</v>
      </c>
      <c r="O21" s="40">
        <f t="shared" ref="O21" si="126">B21*0.4052</f>
        <v>1573.8981000000001</v>
      </c>
      <c r="P21" s="40">
        <f t="shared" ref="P21" si="127">C21*0.4944</f>
        <v>282.45071999999999</v>
      </c>
      <c r="Q21" s="40">
        <f t="shared" ref="Q21" si="128">D21*0.3363</f>
        <v>0</v>
      </c>
      <c r="R21" s="40">
        <f t="shared" ref="R21" si="129">O21+P21+Q21</f>
        <v>1856.3488200000002</v>
      </c>
      <c r="S21" s="40">
        <f t="shared" ref="S21" si="130">SUM(K21+L21+M21+N21)</f>
        <v>65557.546493899994</v>
      </c>
      <c r="T21" s="41">
        <f t="shared" ref="T21" si="131">S21*16%</f>
        <v>10489.207439024</v>
      </c>
    </row>
    <row r="22" spans="1:28" s="34" customFormat="1" ht="18" customHeight="1" thickBot="1" x14ac:dyDescent="0.3">
      <c r="A22" s="32">
        <v>43147</v>
      </c>
      <c r="B22" s="30">
        <f>204.96+1714.4+2089.35</f>
        <v>4008.71</v>
      </c>
      <c r="C22" s="30">
        <f>295.34+169.53+36.79</f>
        <v>501.66</v>
      </c>
      <c r="D22" s="30">
        <f>0+0+0</f>
        <v>0</v>
      </c>
      <c r="E22" s="37">
        <v>17.2</v>
      </c>
      <c r="F22" s="38">
        <v>18.850000000000001</v>
      </c>
      <c r="G22" s="38">
        <v>17.350000000000001</v>
      </c>
      <c r="H22" s="39">
        <v>14.478275999999999</v>
      </c>
      <c r="I22" s="39">
        <v>15.823793</v>
      </c>
      <c r="J22" s="39">
        <v>14.666983</v>
      </c>
      <c r="K22" s="40">
        <f t="shared" ref="K22" si="132">B22*H22</f>
        <v>58039.209783959996</v>
      </c>
      <c r="L22" s="40">
        <f t="shared" ref="L22" si="133">C22*I22</f>
        <v>7938.1639963800008</v>
      </c>
      <c r="M22" s="40">
        <f t="shared" ref="M22" si="134">D22*J22</f>
        <v>0</v>
      </c>
      <c r="N22" s="40">
        <f>64.66+64.66</f>
        <v>129.32</v>
      </c>
      <c r="O22" s="40">
        <f t="shared" ref="O22" si="135">B22*0.4052</f>
        <v>1624.3292920000001</v>
      </c>
      <c r="P22" s="40">
        <f t="shared" ref="P22" si="136">C22*0.4944</f>
        <v>248.02070400000002</v>
      </c>
      <c r="Q22" s="40">
        <f t="shared" ref="Q22" si="137">D22*0.3363</f>
        <v>0</v>
      </c>
      <c r="R22" s="40">
        <f t="shared" ref="R22" si="138">O22+P22+Q22</f>
        <v>1872.3499960000001</v>
      </c>
      <c r="S22" s="40">
        <f t="shared" ref="S22" si="139">SUM(K22+L22+M22+N22)</f>
        <v>66106.693780340007</v>
      </c>
      <c r="T22" s="41">
        <f t="shared" ref="T22" si="140">S22*16%</f>
        <v>10577.071004854401</v>
      </c>
    </row>
    <row r="23" spans="1:28" s="52" customFormat="1" ht="18" customHeight="1" thickBot="1" x14ac:dyDescent="0.3">
      <c r="A23" s="47">
        <v>43148</v>
      </c>
      <c r="B23" s="48">
        <f>1625.96+325.94+2079.72</f>
        <v>4031.62</v>
      </c>
      <c r="C23" s="48">
        <f>406.16+7.61+220.18</f>
        <v>633.95000000000005</v>
      </c>
      <c r="D23" s="48">
        <f>0+0+0</f>
        <v>0</v>
      </c>
      <c r="E23" s="37">
        <v>17.2</v>
      </c>
      <c r="F23" s="37">
        <v>18.850000000000001</v>
      </c>
      <c r="G23" s="37">
        <v>17.350000000000001</v>
      </c>
      <c r="H23" s="49">
        <v>14.478275999999999</v>
      </c>
      <c r="I23" s="49">
        <v>15.823793</v>
      </c>
      <c r="J23" s="49">
        <v>14.666983</v>
      </c>
      <c r="K23" s="50">
        <f t="shared" ref="K23" si="141">B23*H23</f>
        <v>58370.907087119995</v>
      </c>
      <c r="L23" s="50">
        <f t="shared" ref="L23" si="142">C23*I23</f>
        <v>10031.49357235</v>
      </c>
      <c r="M23" s="50">
        <f t="shared" ref="M23" si="143">D23*J23</f>
        <v>0</v>
      </c>
      <c r="N23" s="50">
        <f>99.14+107.76</f>
        <v>206.9</v>
      </c>
      <c r="O23" s="50">
        <f t="shared" ref="O23" si="144">B23*0.4052</f>
        <v>1633.6124239999999</v>
      </c>
      <c r="P23" s="50">
        <f t="shared" ref="P23" si="145">C23*0.4944</f>
        <v>313.42488000000003</v>
      </c>
      <c r="Q23" s="50">
        <f t="shared" ref="Q23" si="146">D23*0.3363</f>
        <v>0</v>
      </c>
      <c r="R23" s="50">
        <f t="shared" ref="R23" si="147">O23+P23+Q23</f>
        <v>1947.0373039999999</v>
      </c>
      <c r="S23" s="50">
        <f t="shared" ref="S23" si="148">SUM(K23+L23+M23+N23)</f>
        <v>68609.300659469984</v>
      </c>
      <c r="T23" s="51">
        <f t="shared" ref="T23" si="149">S23*16%</f>
        <v>10977.488105515198</v>
      </c>
      <c r="V23" s="53"/>
      <c r="W23" s="53"/>
      <c r="X23" s="54"/>
      <c r="Y23" s="53"/>
      <c r="Z23" s="53"/>
      <c r="AA23" s="53"/>
      <c r="AB23" s="53"/>
    </row>
    <row r="24" spans="1:28" s="34" customFormat="1" ht="18" customHeight="1" thickBot="1" x14ac:dyDescent="0.3">
      <c r="A24" s="32">
        <v>43149</v>
      </c>
      <c r="B24" s="30">
        <f>257.02+1337.03+1607.2</f>
        <v>3201.25</v>
      </c>
      <c r="C24" s="30">
        <f>204.04+130.26+26.97</f>
        <v>361.27</v>
      </c>
      <c r="D24" s="30">
        <f>0+0+0</f>
        <v>0</v>
      </c>
      <c r="E24" s="37">
        <v>17.2</v>
      </c>
      <c r="F24" s="38">
        <v>18.850000000000001</v>
      </c>
      <c r="G24" s="38">
        <v>17.350000000000001</v>
      </c>
      <c r="H24" s="39">
        <v>14.478275999999999</v>
      </c>
      <c r="I24" s="39">
        <v>15.823793</v>
      </c>
      <c r="J24" s="39">
        <v>14.666983</v>
      </c>
      <c r="K24" s="40">
        <f t="shared" ref="K24" si="150">B24*H24</f>
        <v>46348.581044999999</v>
      </c>
      <c r="L24" s="40">
        <f t="shared" ref="L24" si="151">C24*I24</f>
        <v>5716.6616971100002</v>
      </c>
      <c r="M24" s="40">
        <f t="shared" ref="M24" si="152">D24*J24</f>
        <v>0</v>
      </c>
      <c r="N24" s="40">
        <v>181.03</v>
      </c>
      <c r="O24" s="40">
        <f t="shared" ref="O24" si="153">B24*0.4052</f>
        <v>1297.1465000000001</v>
      </c>
      <c r="P24" s="40">
        <f t="shared" ref="P24" si="154">C24*0.4944</f>
        <v>178.61188799999999</v>
      </c>
      <c r="Q24" s="40">
        <f t="shared" ref="Q24" si="155">D24*0.3363</f>
        <v>0</v>
      </c>
      <c r="R24" s="40">
        <f t="shared" ref="R24" si="156">O24+P24+Q24</f>
        <v>1475.758388</v>
      </c>
      <c r="S24" s="40">
        <f t="shared" ref="S24" si="157">SUM(K24+L24+M24+N24)</f>
        <v>52246.272742109999</v>
      </c>
      <c r="T24" s="41">
        <f t="shared" ref="T24" si="158">S24*16%</f>
        <v>8359.4036387376</v>
      </c>
      <c r="V24" s="35"/>
      <c r="W24" s="35"/>
      <c r="X24" s="33"/>
      <c r="Y24" s="35"/>
      <c r="Z24" s="35"/>
      <c r="AA24" s="35"/>
      <c r="AB24" s="35"/>
    </row>
    <row r="25" spans="1:28" s="34" customFormat="1" ht="18" customHeight="1" thickBot="1" x14ac:dyDescent="0.3">
      <c r="A25" s="32">
        <v>43150</v>
      </c>
      <c r="B25" s="30">
        <f>189.96+2036.55+1710</f>
        <v>3936.5099999999998</v>
      </c>
      <c r="C25" s="30">
        <f>78.08+383.54+189</f>
        <v>650.62</v>
      </c>
      <c r="D25" s="30">
        <v>0</v>
      </c>
      <c r="E25" s="37">
        <v>17.2</v>
      </c>
      <c r="F25" s="38">
        <v>18.850000000000001</v>
      </c>
      <c r="G25" s="38">
        <v>17.350000000000001</v>
      </c>
      <c r="H25" s="39">
        <v>14.478275999999999</v>
      </c>
      <c r="I25" s="39">
        <v>15.823793</v>
      </c>
      <c r="J25" s="39">
        <v>14.666983</v>
      </c>
      <c r="K25" s="40">
        <f t="shared" ref="K25" si="159">B25*H25</f>
        <v>56993.878256759992</v>
      </c>
      <c r="L25" s="40">
        <f t="shared" ref="L25" si="160">C25*I25</f>
        <v>10295.276201660001</v>
      </c>
      <c r="M25" s="40">
        <f t="shared" ref="M25" si="161">D25*J25</f>
        <v>0</v>
      </c>
      <c r="N25" s="40">
        <f>262.93+56.03</f>
        <v>318.96000000000004</v>
      </c>
      <c r="O25" s="40">
        <f t="shared" ref="O25" si="162">B25*0.4052</f>
        <v>1595.073852</v>
      </c>
      <c r="P25" s="40">
        <f t="shared" ref="P25" si="163">C25*0.4944</f>
        <v>321.66652800000003</v>
      </c>
      <c r="Q25" s="40">
        <f t="shared" ref="Q25" si="164">D25*0.3363</f>
        <v>0</v>
      </c>
      <c r="R25" s="40">
        <f t="shared" ref="R25" si="165">O25+P25+Q25</f>
        <v>1916.74038</v>
      </c>
      <c r="S25" s="40">
        <f t="shared" ref="S25" si="166">SUM(K25+L25+M25+N25)</f>
        <v>67608.114458419994</v>
      </c>
      <c r="T25" s="41">
        <f t="shared" ref="T25" si="167">S25*16%</f>
        <v>10817.298313347199</v>
      </c>
      <c r="U25" s="35"/>
      <c r="V25" s="35"/>
      <c r="W25" s="35"/>
      <c r="X25" s="33"/>
      <c r="Y25" s="35"/>
      <c r="Z25" s="35"/>
      <c r="AA25" s="35"/>
      <c r="AB25" s="35"/>
    </row>
    <row r="26" spans="1:28" s="34" customFormat="1" ht="18" customHeight="1" thickBot="1" x14ac:dyDescent="0.3">
      <c r="A26" s="32">
        <v>43151</v>
      </c>
      <c r="B26" s="30">
        <f>1384.9+234.35+1844.19</f>
        <v>3463.44</v>
      </c>
      <c r="C26" s="30">
        <f>416.79+21.14+262.09</f>
        <v>700.02</v>
      </c>
      <c r="D26" s="31">
        <v>0</v>
      </c>
      <c r="E26" s="37">
        <v>17.2</v>
      </c>
      <c r="F26" s="38">
        <v>18.850000000000001</v>
      </c>
      <c r="G26" s="38">
        <v>17.350000000000001</v>
      </c>
      <c r="H26" s="39">
        <v>14.478275999999999</v>
      </c>
      <c r="I26" s="39">
        <v>15.823793</v>
      </c>
      <c r="J26" s="39">
        <v>14.666983</v>
      </c>
      <c r="K26" s="40">
        <f t="shared" ref="K26" si="168">B26*H26</f>
        <v>50144.640229439996</v>
      </c>
      <c r="L26" s="40">
        <f t="shared" ref="L26" si="169">C26*I26</f>
        <v>11076.97157586</v>
      </c>
      <c r="M26" s="40">
        <f t="shared" ref="M26" si="170">D26*J26</f>
        <v>0</v>
      </c>
      <c r="N26" s="40">
        <v>176.72</v>
      </c>
      <c r="O26" s="40">
        <f t="shared" ref="O26" si="171">B26*0.4052</f>
        <v>1403.385888</v>
      </c>
      <c r="P26" s="40">
        <f t="shared" ref="P26" si="172">C26*0.4944</f>
        <v>346.08988799999997</v>
      </c>
      <c r="Q26" s="40">
        <f t="shared" ref="Q26" si="173">D26*0.3363</f>
        <v>0</v>
      </c>
      <c r="R26" s="40">
        <f t="shared" ref="R26" si="174">O26+P26+Q26</f>
        <v>1749.475776</v>
      </c>
      <c r="S26" s="40">
        <f t="shared" ref="S26" si="175">SUM(K26+L26+M26+N26)</f>
        <v>61398.331805299997</v>
      </c>
      <c r="T26" s="41">
        <f t="shared" ref="T26" si="176">S26*16%</f>
        <v>9823.7330888479992</v>
      </c>
      <c r="V26" s="35"/>
    </row>
    <row r="27" spans="1:28" s="34" customFormat="1" ht="18" customHeight="1" thickBot="1" x14ac:dyDescent="0.3">
      <c r="A27" s="32">
        <v>43152</v>
      </c>
      <c r="B27" s="30">
        <f>103.49+1593.75+1584.48</f>
        <v>3281.7200000000003</v>
      </c>
      <c r="C27" s="30">
        <f>30.27+317.25+258.27</f>
        <v>605.79</v>
      </c>
      <c r="D27" s="31">
        <v>0</v>
      </c>
      <c r="E27" s="42">
        <v>17.2</v>
      </c>
      <c r="F27" s="43">
        <v>18.850000000000001</v>
      </c>
      <c r="G27" s="43">
        <v>17.350000000000001</v>
      </c>
      <c r="H27" s="44">
        <v>14.478275999999999</v>
      </c>
      <c r="I27" s="44">
        <v>15.823793</v>
      </c>
      <c r="J27" s="44">
        <v>14.666983</v>
      </c>
      <c r="K27" s="45">
        <f t="shared" ref="K27" si="177">B27*H27</f>
        <v>47513.647914720001</v>
      </c>
      <c r="L27" s="45">
        <f t="shared" ref="L27" si="178">C27*I27</f>
        <v>9585.8955614699989</v>
      </c>
      <c r="M27" s="45">
        <f t="shared" ref="M27" si="179">D27*J27</f>
        <v>0</v>
      </c>
      <c r="N27" s="45">
        <v>344.9</v>
      </c>
      <c r="O27" s="45">
        <f t="shared" ref="O27" si="180">B27*0.4052</f>
        <v>1329.7529440000001</v>
      </c>
      <c r="P27" s="45">
        <f t="shared" ref="P27" si="181">C27*0.4944</f>
        <v>299.50257599999998</v>
      </c>
      <c r="Q27" s="45">
        <f t="shared" ref="Q27" si="182">D27*0.3363</f>
        <v>0</v>
      </c>
      <c r="R27" s="45">
        <f t="shared" ref="R27" si="183">O27+P27+Q27</f>
        <v>1629.2555200000002</v>
      </c>
      <c r="S27" s="45">
        <f t="shared" ref="S27" si="184">SUM(K27+L27+M27+N27)</f>
        <v>57444.443476189997</v>
      </c>
      <c r="T27" s="46">
        <f t="shared" ref="T27" si="185">S27*16%</f>
        <v>9191.1109561903995</v>
      </c>
      <c r="U27" s="35"/>
      <c r="V27" s="35"/>
    </row>
    <row r="28" spans="1:28" s="34" customFormat="1" ht="18" customHeight="1" thickBot="1" x14ac:dyDescent="0.3">
      <c r="A28" s="32">
        <v>43153</v>
      </c>
      <c r="B28" s="30">
        <f>1754.25+1650.54+132.12</f>
        <v>3536.91</v>
      </c>
      <c r="C28" s="30">
        <f>205.94+310.86+18.19</f>
        <v>534.99</v>
      </c>
      <c r="D28" s="31">
        <v>0</v>
      </c>
      <c r="E28" s="37">
        <v>17.2</v>
      </c>
      <c r="F28" s="38">
        <v>18.850000000000001</v>
      </c>
      <c r="G28" s="38">
        <v>17.350000000000001</v>
      </c>
      <c r="H28" s="39">
        <v>14.478275999999999</v>
      </c>
      <c r="I28" s="39">
        <v>15.823793</v>
      </c>
      <c r="J28" s="39">
        <v>14.666983</v>
      </c>
      <c r="K28" s="40">
        <f t="shared" ref="K28" si="186">B28*H28</f>
        <v>51208.359167159993</v>
      </c>
      <c r="L28" s="40">
        <f t="shared" ref="L28" si="187">C28*I28</f>
        <v>8465.5710170700004</v>
      </c>
      <c r="M28" s="40">
        <v>0</v>
      </c>
      <c r="N28" s="40">
        <v>297.42</v>
      </c>
      <c r="O28" s="40">
        <f t="shared" ref="O28" si="188">B28*0.4052</f>
        <v>1433.1559319999999</v>
      </c>
      <c r="P28" s="40">
        <f t="shared" ref="P28" si="189">C28*0.4944</f>
        <v>264.499056</v>
      </c>
      <c r="Q28" s="40">
        <f t="shared" ref="Q28" si="190">D28*0.3363</f>
        <v>0</v>
      </c>
      <c r="R28" s="40">
        <f t="shared" ref="R28" si="191">O28+P28+Q28</f>
        <v>1697.6549879999998</v>
      </c>
      <c r="S28" s="40">
        <f t="shared" ref="S28" si="192">SUM(K28+L28+M28+N28)</f>
        <v>59971.350184229988</v>
      </c>
      <c r="T28" s="41">
        <f t="shared" ref="T28" si="193">S28*16%</f>
        <v>9595.4160294767989</v>
      </c>
      <c r="U28" s="35"/>
      <c r="V28" s="35"/>
    </row>
    <row r="29" spans="1:28" s="34" customFormat="1" ht="18" customHeight="1" thickBot="1" x14ac:dyDescent="0.3">
      <c r="A29" s="59">
        <v>43154</v>
      </c>
      <c r="B29" s="30">
        <f>151.69+860.16</f>
        <v>1011.8499999999999</v>
      </c>
      <c r="C29" s="30">
        <f>21.22+54.2</f>
        <v>75.42</v>
      </c>
      <c r="D29" s="31">
        <v>0</v>
      </c>
      <c r="E29" s="37">
        <v>17.2</v>
      </c>
      <c r="F29" s="38">
        <v>18.850000000000001</v>
      </c>
      <c r="G29" s="38">
        <v>17.350000000000001</v>
      </c>
      <c r="H29" s="39">
        <v>14.478275999999999</v>
      </c>
      <c r="I29" s="39">
        <v>15.823793</v>
      </c>
      <c r="J29" s="39">
        <v>14.666983</v>
      </c>
      <c r="K29" s="40">
        <f t="shared" ref="K29" si="194">B29*H29</f>
        <v>14649.843570599998</v>
      </c>
      <c r="L29" s="40">
        <f t="shared" ref="L29" si="195">C29*I29</f>
        <v>1193.4304680600001</v>
      </c>
      <c r="M29" s="40">
        <v>0</v>
      </c>
      <c r="N29" s="40">
        <v>0</v>
      </c>
      <c r="O29" s="40">
        <f t="shared" ref="O29" si="196">B29*0.4052</f>
        <v>410.00161999999995</v>
      </c>
      <c r="P29" s="40">
        <f t="shared" ref="P29" si="197">C29*0.4944</f>
        <v>37.287648000000004</v>
      </c>
      <c r="Q29" s="40">
        <f t="shared" ref="Q29" si="198">D29*0.3363</f>
        <v>0</v>
      </c>
      <c r="R29" s="40">
        <f t="shared" ref="R29" si="199">O29+P29+Q29</f>
        <v>447.28926799999994</v>
      </c>
      <c r="S29" s="40">
        <f t="shared" ref="S29" si="200">SUM(K29+L29+M29+N29)</f>
        <v>15843.274038659998</v>
      </c>
      <c r="T29" s="41">
        <f t="shared" ref="T29" si="201">S29*16%</f>
        <v>2534.9238461855998</v>
      </c>
      <c r="U29" s="35"/>
      <c r="V29" s="35"/>
    </row>
    <row r="30" spans="1:28" s="34" customFormat="1" ht="18" customHeight="1" thickBot="1" x14ac:dyDescent="0.3">
      <c r="A30" s="59">
        <v>43154</v>
      </c>
      <c r="B30" s="30">
        <f>1554.3+2321.94-860.16</f>
        <v>3016.08</v>
      </c>
      <c r="C30" s="30">
        <f>212.17+313.11-54.2</f>
        <v>471.08</v>
      </c>
      <c r="D30" s="31">
        <v>0</v>
      </c>
      <c r="E30" s="56">
        <v>17.22</v>
      </c>
      <c r="F30" s="57">
        <v>18.87</v>
      </c>
      <c r="G30" s="57">
        <v>18.32</v>
      </c>
      <c r="H30" s="58">
        <v>14.495517</v>
      </c>
      <c r="I30" s="58">
        <v>15.841034000000001</v>
      </c>
      <c r="J30" s="58">
        <v>15.50319</v>
      </c>
      <c r="K30" s="40">
        <f t="shared" ref="K30" si="202">B30*H30</f>
        <v>43719.638913359995</v>
      </c>
      <c r="L30" s="40">
        <f t="shared" ref="L30" si="203">C30*I30</f>
        <v>7462.3942967200001</v>
      </c>
      <c r="M30" s="40">
        <v>0</v>
      </c>
      <c r="N30" s="40">
        <f>30.17+107.76</f>
        <v>137.93</v>
      </c>
      <c r="O30" s="40">
        <f t="shared" ref="O30" si="204">B30*0.4052</f>
        <v>1222.115616</v>
      </c>
      <c r="P30" s="40">
        <f t="shared" ref="P30" si="205">C30*0.4944</f>
        <v>232.90195199999999</v>
      </c>
      <c r="Q30" s="40">
        <f t="shared" ref="Q30" si="206">D30*0.3363</f>
        <v>0</v>
      </c>
      <c r="R30" s="40">
        <f t="shared" ref="R30" si="207">O30+P30+Q30</f>
        <v>1455.017568</v>
      </c>
      <c r="S30" s="40">
        <f t="shared" ref="S30" si="208">SUM(K30+L30+M30+N30)</f>
        <v>51319.963210079994</v>
      </c>
      <c r="T30" s="41">
        <f t="shared" ref="T30" si="209">S30*16%</f>
        <v>8211.1941136127989</v>
      </c>
      <c r="U30" s="35"/>
      <c r="V30" s="35"/>
    </row>
    <row r="31" spans="1:28" s="34" customFormat="1" ht="18" customHeight="1" thickBot="1" x14ac:dyDescent="0.3">
      <c r="A31" s="32">
        <v>43155</v>
      </c>
      <c r="B31" s="30">
        <f>1811.36+1814.32+334.4</f>
        <v>3960.08</v>
      </c>
      <c r="C31" s="30">
        <f>317.01+217.4+10.59</f>
        <v>545</v>
      </c>
      <c r="D31" s="31">
        <v>0</v>
      </c>
      <c r="E31" s="37">
        <v>17.22</v>
      </c>
      <c r="F31" s="38">
        <v>18.87</v>
      </c>
      <c r="G31" s="38">
        <v>18.32</v>
      </c>
      <c r="H31" s="39">
        <v>14.495517</v>
      </c>
      <c r="I31" s="39">
        <v>15.841034000000001</v>
      </c>
      <c r="J31" s="39">
        <v>15.50319</v>
      </c>
      <c r="K31" s="40">
        <f t="shared" ref="K31" si="210">B31*H31</f>
        <v>57403.40696136</v>
      </c>
      <c r="L31" s="40">
        <f t="shared" ref="L31" si="211">C31*I31</f>
        <v>8633.3635300000005</v>
      </c>
      <c r="M31" s="40">
        <v>0</v>
      </c>
      <c r="N31" s="40">
        <v>418.1</v>
      </c>
      <c r="O31" s="40">
        <f t="shared" ref="O31" si="212">B31*0.4052</f>
        <v>1604.6244159999999</v>
      </c>
      <c r="P31" s="40">
        <f t="shared" ref="P31" si="213">C31*0.4944</f>
        <v>269.44799999999998</v>
      </c>
      <c r="Q31" s="40">
        <f t="shared" ref="Q31" si="214">D31*0.3363</f>
        <v>0</v>
      </c>
      <c r="R31" s="40">
        <f t="shared" ref="R31" si="215">O31+P31+Q31</f>
        <v>1874.072416</v>
      </c>
      <c r="S31" s="40">
        <f t="shared" ref="S31" si="216">SUM(K31+L31+M31+N31)</f>
        <v>66454.870491360009</v>
      </c>
      <c r="T31" s="41">
        <f t="shared" ref="T31" si="217">S31*16%</f>
        <v>10632.779278617601</v>
      </c>
      <c r="U31" s="35"/>
      <c r="V31" s="35"/>
    </row>
    <row r="32" spans="1:28" s="34" customFormat="1" ht="18" customHeight="1" thickBot="1" x14ac:dyDescent="0.3">
      <c r="A32" s="32">
        <v>43156</v>
      </c>
      <c r="B32" s="30">
        <f>1338.88+257.81+1407.1</f>
        <v>3003.79</v>
      </c>
      <c r="C32" s="30">
        <f>200.4+42.92+283.85</f>
        <v>527.17000000000007</v>
      </c>
      <c r="D32" s="31">
        <v>0</v>
      </c>
      <c r="E32" s="37">
        <v>17.22</v>
      </c>
      <c r="F32" s="38">
        <v>18.87</v>
      </c>
      <c r="G32" s="38">
        <v>18.32</v>
      </c>
      <c r="H32" s="39">
        <v>14.495517</v>
      </c>
      <c r="I32" s="39">
        <v>15.841034000000001</v>
      </c>
      <c r="J32" s="39">
        <v>15.50319</v>
      </c>
      <c r="K32" s="40">
        <f t="shared" ref="K32" si="218">B32*H32</f>
        <v>43541.489009429999</v>
      </c>
      <c r="L32" s="40">
        <f t="shared" ref="L32" si="219">C32*I32</f>
        <v>8350.9178937800007</v>
      </c>
      <c r="M32" s="40">
        <v>0</v>
      </c>
      <c r="N32" s="40">
        <f>43.1+340.52</f>
        <v>383.62</v>
      </c>
      <c r="O32" s="40">
        <f t="shared" ref="O32" si="220">B32*0.4052</f>
        <v>1217.135708</v>
      </c>
      <c r="P32" s="40">
        <f t="shared" ref="P32" si="221">C32*0.4944</f>
        <v>260.63284800000002</v>
      </c>
      <c r="Q32" s="40">
        <f t="shared" ref="Q32" si="222">D32*0.3363</f>
        <v>0</v>
      </c>
      <c r="R32" s="40">
        <f t="shared" ref="R32" si="223">O32+P32+Q32</f>
        <v>1477.768556</v>
      </c>
      <c r="S32" s="40">
        <f t="shared" ref="S32" si="224">SUM(K32+L32+M32+N32)</f>
        <v>52276.026903210004</v>
      </c>
      <c r="T32" s="41">
        <f t="shared" ref="T32" si="225">S32*16%</f>
        <v>8364.1643045136007</v>
      </c>
      <c r="U32" s="35"/>
      <c r="V32" s="35"/>
    </row>
    <row r="33" spans="1:215" s="34" customFormat="1" ht="18" customHeight="1" thickBot="1" x14ac:dyDescent="0.3">
      <c r="A33" s="32">
        <v>43157</v>
      </c>
      <c r="B33" s="30">
        <f>1746.86+225+1734.43</f>
        <v>3706.29</v>
      </c>
      <c r="C33" s="31">
        <f>247.42+31.78+442.64</f>
        <v>721.83999999999992</v>
      </c>
      <c r="D33" s="30">
        <v>0</v>
      </c>
      <c r="E33" s="37">
        <v>17.22</v>
      </c>
      <c r="F33" s="38">
        <v>18.87</v>
      </c>
      <c r="G33" s="38">
        <v>18.32</v>
      </c>
      <c r="H33" s="39">
        <v>14.495517</v>
      </c>
      <c r="I33" s="39">
        <v>15.841034000000001</v>
      </c>
      <c r="J33" s="39">
        <v>15.50319</v>
      </c>
      <c r="K33" s="40">
        <f t="shared" ref="K33" si="226">B33*H33</f>
        <v>53724.589701929995</v>
      </c>
      <c r="L33" s="40">
        <f t="shared" ref="L33" si="227">C33*I33</f>
        <v>11434.69198256</v>
      </c>
      <c r="M33" s="40">
        <v>0</v>
      </c>
      <c r="N33" s="40">
        <v>159.47999999999999</v>
      </c>
      <c r="O33" s="40">
        <f t="shared" ref="O33" si="228">B33*0.4052</f>
        <v>1501.788708</v>
      </c>
      <c r="P33" s="40">
        <f t="shared" ref="P33" si="229">C33*0.4944</f>
        <v>356.87769599999996</v>
      </c>
      <c r="Q33" s="40">
        <f t="shared" ref="Q33" si="230">D33*0.3363</f>
        <v>0</v>
      </c>
      <c r="R33" s="40">
        <f t="shared" ref="R33" si="231">O33+P33+Q33</f>
        <v>1858.6664040000001</v>
      </c>
      <c r="S33" s="40">
        <f t="shared" ref="S33" si="232">SUM(K33+L33+M33+N33)</f>
        <v>65318.761684489997</v>
      </c>
      <c r="T33" s="41">
        <f t="shared" ref="T33" si="233">S33*16%</f>
        <v>10451.001869518399</v>
      </c>
      <c r="U33" s="35"/>
      <c r="V33" s="35"/>
    </row>
    <row r="34" spans="1:215" s="34" customFormat="1" ht="18" customHeight="1" thickBot="1" x14ac:dyDescent="0.3">
      <c r="A34" s="32">
        <v>43158</v>
      </c>
      <c r="B34" s="30">
        <f>1778.23+103.72+1507.9</f>
        <v>3389.8500000000004</v>
      </c>
      <c r="C34" s="31">
        <f>203.02+41.62+74.62</f>
        <v>319.26</v>
      </c>
      <c r="D34" s="30">
        <v>0</v>
      </c>
      <c r="E34" s="37">
        <v>17.22</v>
      </c>
      <c r="F34" s="38">
        <v>18.87</v>
      </c>
      <c r="G34" s="38">
        <v>18.32</v>
      </c>
      <c r="H34" s="39">
        <v>14.495517</v>
      </c>
      <c r="I34" s="39">
        <v>15.841034000000001</v>
      </c>
      <c r="J34" s="39">
        <v>15.50319</v>
      </c>
      <c r="K34" s="40">
        <f t="shared" ref="K34" si="234">B34*H34</f>
        <v>49137.628302450001</v>
      </c>
      <c r="L34" s="40">
        <f t="shared" ref="L34" si="235">C34*I34</f>
        <v>5057.40851484</v>
      </c>
      <c r="M34" s="40">
        <v>0</v>
      </c>
      <c r="N34" s="40">
        <f>94.83+120.69+56.03</f>
        <v>271.54999999999995</v>
      </c>
      <c r="O34" s="40">
        <f t="shared" ref="O34" si="236">B34*0.4052</f>
        <v>1373.5672200000001</v>
      </c>
      <c r="P34" s="40">
        <f t="shared" ref="P34" si="237">C34*0.4944</f>
        <v>157.84214399999999</v>
      </c>
      <c r="Q34" s="40">
        <f t="shared" ref="Q34" si="238">D34*0.3363</f>
        <v>0</v>
      </c>
      <c r="R34" s="40">
        <f t="shared" ref="R34" si="239">O34+P34+Q34</f>
        <v>1531.4093640000001</v>
      </c>
      <c r="S34" s="40">
        <f t="shared" ref="S34" si="240">SUM(K34+L34+M34+N34)</f>
        <v>54466.586817290001</v>
      </c>
      <c r="T34" s="41">
        <f t="shared" ref="T34" si="241">S34*16%</f>
        <v>8714.6538907663999</v>
      </c>
      <c r="U34" s="35">
        <f>+T34+S34+R34</f>
        <v>64712.6500720564</v>
      </c>
      <c r="V34" s="35"/>
    </row>
    <row r="35" spans="1:215" s="34" customFormat="1" ht="18" customHeight="1" x14ac:dyDescent="0.25">
      <c r="A35" s="32">
        <v>43159</v>
      </c>
      <c r="B35" s="30">
        <f>125.75+1743.29+1816.32</f>
        <v>3685.3599999999997</v>
      </c>
      <c r="C35" s="31">
        <f>20.59+208.1+158.04</f>
        <v>386.73</v>
      </c>
      <c r="D35" s="30">
        <v>0</v>
      </c>
      <c r="E35" s="37">
        <v>17.22</v>
      </c>
      <c r="F35" s="38">
        <v>18.87</v>
      </c>
      <c r="G35" s="38">
        <v>18.32</v>
      </c>
      <c r="H35" s="39">
        <v>14.495517</v>
      </c>
      <c r="I35" s="39">
        <v>15.841034000000001</v>
      </c>
      <c r="J35" s="39">
        <v>15.50319</v>
      </c>
      <c r="K35" s="27">
        <f t="shared" ref="K35" si="242">B35*H35</f>
        <v>53421.198531119997</v>
      </c>
      <c r="L35" s="27">
        <f t="shared" si="43"/>
        <v>6126.2030788200009</v>
      </c>
      <c r="M35" s="27">
        <f t="shared" si="44"/>
        <v>0</v>
      </c>
      <c r="N35" s="29">
        <f>56.03+116.38</f>
        <v>172.41</v>
      </c>
      <c r="O35" s="27">
        <f t="shared" si="45"/>
        <v>1493.3078719999999</v>
      </c>
      <c r="P35" s="27">
        <f t="shared" si="46"/>
        <v>191.19931200000002</v>
      </c>
      <c r="Q35" s="27">
        <f t="shared" si="47"/>
        <v>0</v>
      </c>
      <c r="R35" s="27">
        <f t="shared" si="48"/>
        <v>1684.5071839999998</v>
      </c>
      <c r="S35" s="29">
        <f t="shared" si="49"/>
        <v>59719.811609939999</v>
      </c>
      <c r="T35" s="28">
        <f t="shared" si="50"/>
        <v>9555.1698575903993</v>
      </c>
      <c r="U35" s="35">
        <f>+S35+T35+R35</f>
        <v>70959.488651530395</v>
      </c>
      <c r="V35" s="35"/>
    </row>
    <row r="36" spans="1:215" s="34" customFormat="1" ht="18" customHeight="1" x14ac:dyDescent="0.25">
      <c r="I36" s="36"/>
      <c r="J36" s="33"/>
      <c r="K36" s="55"/>
      <c r="L36" s="55"/>
      <c r="M36" s="55"/>
      <c r="N36" s="33"/>
      <c r="O36" s="33"/>
      <c r="P36" s="33"/>
      <c r="Q36" s="33"/>
      <c r="R36" s="33"/>
      <c r="S36" s="55"/>
      <c r="T36" s="33"/>
    </row>
    <row r="37" spans="1:215" ht="18" customHeight="1" x14ac:dyDescent="0.25">
      <c r="A37" s="4"/>
      <c r="B37" s="3" t="s">
        <v>16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</row>
    <row r="38" spans="1:215" x14ac:dyDescent="0.25">
      <c r="A38" s="6"/>
      <c r="B38" s="3" t="s">
        <v>17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</row>
    <row r="39" spans="1:215" x14ac:dyDescent="0.25">
      <c r="A39" s="5"/>
      <c r="B39" s="3" t="s">
        <v>18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</row>
    <row r="40" spans="1:2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</row>
    <row r="41" spans="1:2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</row>
    <row r="42" spans="1:21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</row>
    <row r="43" spans="1:2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</row>
    <row r="44" spans="1:2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</row>
    <row r="45" spans="1:2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2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2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2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</sheetData>
  <mergeCells count="7">
    <mergeCell ref="E4:G4"/>
    <mergeCell ref="K4:M4"/>
    <mergeCell ref="H4:J4"/>
    <mergeCell ref="A3:J3"/>
    <mergeCell ref="K3:Q3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2016-10-11T21:34:59Z</cp:lastPrinted>
  <dcterms:created xsi:type="dcterms:W3CDTF">2015-10-02T22:42:38Z</dcterms:created>
  <dcterms:modified xsi:type="dcterms:W3CDTF">2018-03-02T23:33:01Z</dcterms:modified>
</cp:coreProperties>
</file>