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1805" windowHeight="8730"/>
  </bookViews>
  <sheets>
    <sheet name="HOJA" sheetId="3" r:id="rId1"/>
    <sheet name="Hoja1" sheetId="4" r:id="rId2"/>
  </sheets>
  <definedNames>
    <definedName name="_xlnm.Print_Area" localSheetId="0">HOJA!$A$1:$T$42</definedName>
  </definedNames>
  <calcPr calcId="171027"/>
</workbook>
</file>

<file path=xl/calcChain.xml><?xml version="1.0" encoding="utf-8"?>
<calcChain xmlns="http://schemas.openxmlformats.org/spreadsheetml/2006/main">
  <c r="S43" i="3" l="1"/>
  <c r="T43" i="3"/>
  <c r="R43" i="3"/>
  <c r="L43" i="3"/>
  <c r="M43" i="3"/>
  <c r="N43" i="3"/>
  <c r="K43" i="3"/>
  <c r="K27" i="3"/>
  <c r="L27" i="3"/>
  <c r="M27" i="3"/>
  <c r="N27" i="3"/>
  <c r="D27" i="3"/>
  <c r="C27" i="3"/>
  <c r="B27" i="3"/>
  <c r="O26" i="3" l="1"/>
  <c r="R26" i="3" s="1"/>
  <c r="P26" i="3"/>
  <c r="Q26" i="3"/>
  <c r="K26" i="3"/>
  <c r="L26" i="3"/>
  <c r="M26" i="3"/>
  <c r="C25" i="3"/>
  <c r="L25" i="3" s="1"/>
  <c r="B25" i="3"/>
  <c r="K25" i="3"/>
  <c r="M25" i="3"/>
  <c r="O25" i="3"/>
  <c r="P25" i="3"/>
  <c r="Q25" i="3"/>
  <c r="C24" i="3"/>
  <c r="B24" i="3"/>
  <c r="N24" i="3"/>
  <c r="L24" i="3"/>
  <c r="K24" i="3"/>
  <c r="M24" i="3"/>
  <c r="Q24" i="3"/>
  <c r="S26" i="3" l="1"/>
  <c r="R25" i="3"/>
  <c r="S25" i="3"/>
  <c r="T25" i="3" s="1"/>
  <c r="P24" i="3"/>
  <c r="S24" i="3"/>
  <c r="T24" i="3" s="1"/>
  <c r="O24" i="3"/>
  <c r="R24" i="3" s="1"/>
  <c r="B23" i="3"/>
  <c r="C23" i="3"/>
  <c r="L23" i="3" s="1"/>
  <c r="O23" i="3"/>
  <c r="K23" i="3"/>
  <c r="M23" i="3"/>
  <c r="P23" i="3"/>
  <c r="Q23" i="3"/>
  <c r="N21" i="3"/>
  <c r="T26" i="3" l="1"/>
  <c r="R23" i="3"/>
  <c r="S23" i="3"/>
  <c r="T23" i="3" s="1"/>
  <c r="C43" i="3"/>
  <c r="D43" i="3"/>
  <c r="B43" i="3"/>
  <c r="K19" i="3"/>
  <c r="L19" i="3"/>
  <c r="M19" i="3"/>
  <c r="O19" i="3"/>
  <c r="P19" i="3"/>
  <c r="Q19" i="3"/>
  <c r="S19" i="3" l="1"/>
  <c r="T19" i="3" s="1"/>
  <c r="R19" i="3"/>
  <c r="N18" i="3"/>
  <c r="D18" i="3"/>
  <c r="C18" i="3"/>
  <c r="B18" i="3"/>
  <c r="N15" i="3"/>
  <c r="D15" i="3"/>
  <c r="C15" i="3"/>
  <c r="L15" i="3" s="1"/>
  <c r="B15" i="3"/>
  <c r="K15" i="3"/>
  <c r="M15" i="3"/>
  <c r="O15" i="3"/>
  <c r="Q15" i="3"/>
  <c r="P15" i="3" l="1"/>
  <c r="S15" i="3"/>
  <c r="T15" i="3" s="1"/>
  <c r="R15" i="3"/>
  <c r="N14" i="3" l="1"/>
  <c r="D14" i="3"/>
  <c r="C14" i="3"/>
  <c r="B14" i="3"/>
  <c r="N13" i="3" l="1"/>
  <c r="D13" i="3"/>
  <c r="C13" i="3"/>
  <c r="B13" i="3"/>
  <c r="N12" i="3"/>
  <c r="D12" i="3"/>
  <c r="C12" i="3"/>
  <c r="B12" i="3"/>
  <c r="N11" i="3" l="1"/>
  <c r="D11" i="3"/>
  <c r="C11" i="3"/>
  <c r="B11" i="3"/>
  <c r="N10" i="3" l="1"/>
  <c r="D10" i="3"/>
  <c r="C10" i="3"/>
  <c r="B10" i="3"/>
  <c r="N8" i="3"/>
  <c r="D8" i="3"/>
  <c r="C8" i="3"/>
  <c r="B8" i="3"/>
  <c r="K9" i="3" l="1"/>
  <c r="L9" i="3"/>
  <c r="M9" i="3"/>
  <c r="O9" i="3"/>
  <c r="P9" i="3"/>
  <c r="Q9" i="3"/>
  <c r="S9" i="3" l="1"/>
  <c r="T9" i="3" s="1"/>
  <c r="R9" i="3"/>
  <c r="N7" i="3"/>
  <c r="D7" i="3"/>
  <c r="Q7" i="3" s="1"/>
  <c r="C7" i="3"/>
  <c r="P7" i="3" s="1"/>
  <c r="B7" i="3"/>
  <c r="O7" i="3" s="1"/>
  <c r="N6" i="3"/>
  <c r="D6" i="3"/>
  <c r="Q6" i="3" s="1"/>
  <c r="C6" i="3"/>
  <c r="P6" i="3" s="1"/>
  <c r="B6" i="3"/>
  <c r="O8" i="3"/>
  <c r="P8" i="3"/>
  <c r="Q8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6" i="3"/>
  <c r="P16" i="3"/>
  <c r="Q16" i="3"/>
  <c r="O17" i="3"/>
  <c r="P17" i="3"/>
  <c r="Q17" i="3"/>
  <c r="O18" i="3"/>
  <c r="P18" i="3"/>
  <c r="Q18" i="3"/>
  <c r="O20" i="3"/>
  <c r="P20" i="3"/>
  <c r="Q20" i="3"/>
  <c r="O21" i="3"/>
  <c r="P21" i="3"/>
  <c r="Q21" i="3"/>
  <c r="O22" i="3"/>
  <c r="P22" i="3"/>
  <c r="Q22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6" i="3"/>
  <c r="K32" i="3" l="1"/>
  <c r="L32" i="3"/>
  <c r="M32" i="3"/>
  <c r="R32" i="3" l="1"/>
  <c r="S32" i="3"/>
  <c r="T32" i="3" s="1"/>
  <c r="S27" i="3" l="1"/>
  <c r="R27" i="3"/>
  <c r="T27" i="3" l="1"/>
  <c r="K36" i="3"/>
  <c r="M36" i="3"/>
  <c r="R36" i="3" l="1"/>
  <c r="L36" i="3"/>
  <c r="S36" i="3" s="1"/>
  <c r="T36" i="3" s="1"/>
  <c r="K8" i="3" l="1"/>
  <c r="L8" i="3"/>
  <c r="M8" i="3"/>
  <c r="L6" i="3"/>
  <c r="M6" i="3"/>
  <c r="S8" i="3" l="1"/>
  <c r="R8" i="3"/>
  <c r="R6" i="3"/>
  <c r="K6" i="3"/>
  <c r="S6" i="3" s="1"/>
  <c r="T6" i="3" s="1"/>
  <c r="T8" i="3" l="1"/>
  <c r="K33" i="3"/>
  <c r="L33" i="3"/>
  <c r="M33" i="3"/>
  <c r="S33" i="3" l="1"/>
  <c r="T33" i="3" s="1"/>
  <c r="R33" i="3"/>
  <c r="L10" i="3" l="1"/>
  <c r="M10" i="3"/>
  <c r="R10" i="3" l="1"/>
  <c r="K10" i="3"/>
  <c r="M37" i="3"/>
  <c r="L37" i="3"/>
  <c r="K37" i="3"/>
  <c r="S10" i="3" l="1"/>
  <c r="S37" i="3"/>
  <c r="R37" i="3"/>
  <c r="T37" i="3" l="1"/>
  <c r="T10" i="3"/>
  <c r="M28" i="3"/>
  <c r="L28" i="3"/>
  <c r="K28" i="3"/>
  <c r="S28" i="3" l="1"/>
  <c r="R28" i="3" l="1"/>
  <c r="T28" i="3"/>
  <c r="K20" i="3"/>
  <c r="L20" i="3"/>
  <c r="M20" i="3"/>
  <c r="S20" i="3" l="1"/>
  <c r="R20" i="3"/>
  <c r="T20" i="3" l="1"/>
  <c r="M16" i="3"/>
  <c r="L16" i="3"/>
  <c r="K16" i="3"/>
  <c r="R17" i="3" l="1"/>
  <c r="R16" i="3"/>
  <c r="S16" i="3"/>
  <c r="T16" i="3" l="1"/>
  <c r="M12" i="3"/>
  <c r="L12" i="3"/>
  <c r="K12" i="3"/>
  <c r="L41" i="3" l="1"/>
  <c r="R12" i="3" l="1"/>
  <c r="S12" i="3"/>
  <c r="T12" i="3" s="1"/>
  <c r="M41" i="3"/>
  <c r="R41" i="3"/>
  <c r="K41" i="3"/>
  <c r="M35" i="3"/>
  <c r="L35" i="3"/>
  <c r="K35" i="3"/>
  <c r="M30" i="3"/>
  <c r="L30" i="3"/>
  <c r="L31" i="3"/>
  <c r="K31" i="3"/>
  <c r="M31" i="3"/>
  <c r="M18" i="3"/>
  <c r="K18" i="3"/>
  <c r="K17" i="3"/>
  <c r="L17" i="3"/>
  <c r="M17" i="3"/>
  <c r="L18" i="3"/>
  <c r="K7" i="3"/>
  <c r="L7" i="3"/>
  <c r="M7" i="3"/>
  <c r="S41" i="3" l="1"/>
  <c r="T41" i="3" s="1"/>
  <c r="S17" i="3"/>
  <c r="T17" i="3" s="1"/>
  <c r="R35" i="3"/>
  <c r="S35" i="3"/>
  <c r="T35" i="3" s="1"/>
  <c r="R30" i="3"/>
  <c r="K30" i="3"/>
  <c r="S30" i="3" s="1"/>
  <c r="T30" i="3" s="1"/>
  <c r="S31" i="3"/>
  <c r="T31" i="3" s="1"/>
  <c r="R31" i="3"/>
  <c r="R18" i="3"/>
  <c r="S18" i="3"/>
  <c r="R7" i="3"/>
  <c r="S7" i="3"/>
  <c r="T7" i="3" s="1"/>
  <c r="T18" i="3" l="1"/>
  <c r="M39" i="3" l="1"/>
  <c r="L39" i="3"/>
  <c r="R39" i="3"/>
  <c r="K39" i="3"/>
  <c r="L29" i="3"/>
  <c r="K29" i="3"/>
  <c r="L21" i="3"/>
  <c r="K21" i="3"/>
  <c r="K13" i="3"/>
  <c r="M29" i="3" l="1"/>
  <c r="S39" i="3"/>
  <c r="T39" i="3" s="1"/>
  <c r="R29" i="3"/>
  <c r="M21" i="3"/>
  <c r="S21" i="3" s="1"/>
  <c r="T21" i="3" s="1"/>
  <c r="R21" i="3"/>
  <c r="S29" i="3" l="1"/>
  <c r="T29" i="3" s="1"/>
  <c r="M11" i="3"/>
  <c r="L11" i="3"/>
  <c r="K11" i="3"/>
  <c r="S11" i="3" l="1"/>
  <c r="T11" i="3" l="1"/>
  <c r="R11" i="3"/>
  <c r="M40" i="3" l="1"/>
  <c r="L40" i="3"/>
  <c r="R40" i="3"/>
  <c r="K40" i="3"/>
  <c r="S40" i="3" l="1"/>
  <c r="T40" i="3" s="1"/>
  <c r="K38" i="3" l="1"/>
  <c r="L38" i="3"/>
  <c r="M38" i="3"/>
  <c r="S38" i="3" l="1"/>
  <c r="R38" i="3"/>
  <c r="T38" i="3" l="1"/>
  <c r="K14" i="3" l="1"/>
  <c r="M14" i="3"/>
  <c r="R14" i="3"/>
  <c r="L14" i="3"/>
  <c r="S14" i="3" l="1"/>
  <c r="T14" i="3" l="1"/>
  <c r="M42" i="3"/>
  <c r="R13" i="3" l="1"/>
  <c r="R22" i="3"/>
  <c r="R34" i="3"/>
  <c r="R42" i="3"/>
  <c r="K42" i="3" l="1"/>
  <c r="M34" i="3" l="1"/>
  <c r="L42" i="3"/>
  <c r="K34" i="3"/>
  <c r="M22" i="3"/>
  <c r="L22" i="3"/>
  <c r="K22" i="3"/>
  <c r="S42" i="3" l="1"/>
  <c r="L13" i="3"/>
  <c r="M13" i="3"/>
  <c r="L34" i="3"/>
  <c r="S34" i="3" s="1"/>
  <c r="T34" i="3" s="1"/>
  <c r="S22" i="3"/>
  <c r="T22" i="3" l="1"/>
  <c r="S13" i="3"/>
  <c r="T13" i="3" s="1"/>
  <c r="T42" i="3" l="1"/>
</calcChain>
</file>

<file path=xl/sharedStrings.xml><?xml version="1.0" encoding="utf-8"?>
<sst xmlns="http://schemas.openxmlformats.org/spreadsheetml/2006/main" count="32" uniqueCount="24">
  <si>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</si>
  <si>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</si>
  <si>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</si>
  <si>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</si>
  <si>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</si>
  <si>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</si>
  <si>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</si>
  <si>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</si>
  <si>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</si>
  <si>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</si>
  <si>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M</t>
  </si>
  <si>
    <t>P</t>
  </si>
  <si>
    <t>D</t>
  </si>
  <si>
    <t>S/IVA</t>
  </si>
  <si>
    <t>TOTAL IEPS</t>
  </si>
  <si>
    <t>MAG. PREM. DISEL</t>
  </si>
  <si>
    <t>TRABAJO DEL DÍA</t>
  </si>
  <si>
    <t>CAMBIO DE PRECIO</t>
  </si>
  <si>
    <t>MODIFICACIÓN DE INFORMACIÓN</t>
  </si>
  <si>
    <t>PRECIOS CON IVA</t>
  </si>
  <si>
    <t>IMPORTES</t>
  </si>
  <si>
    <t>DÍA</t>
  </si>
  <si>
    <t>DIESEL</t>
  </si>
  <si>
    <t>ESTACIÓN-10092  (ENERO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</si>
</sst>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9" tint="-0.499984740745262"/>
      <name val="Arial"/>
      <family val="2"/>
    </font>
    <font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sz val="19"/>
      <name val="Bookman Old Style"/>
      <family val="1"/>
    </font>
    <font>
      <b/>
      <i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5B5B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2" fontId="2" fillId="9" borderId="7" xfId="1" applyNumberFormat="1" applyFont="1" applyFill="1" applyBorder="1" applyAlignment="1">
      <alignment horizontal="center"/>
    </xf>
    <xf numFmtId="0" fontId="2" fillId="9" borderId="7" xfId="1" applyFont="1" applyFill="1" applyBorder="1" applyAlignment="1">
      <alignment horizontal="center"/>
    </xf>
    <xf numFmtId="0" fontId="2" fillId="9" borderId="0" xfId="1" applyFont="1" applyFill="1" applyBorder="1"/>
    <xf numFmtId="0" fontId="2" fillId="9" borderId="0" xfId="1" applyFont="1" applyFill="1"/>
    <xf numFmtId="0" fontId="2" fillId="11" borderId="7" xfId="1" applyFont="1" applyFill="1" applyBorder="1"/>
    <xf numFmtId="0" fontId="2" fillId="10" borderId="7" xfId="1" applyFont="1" applyFill="1" applyBorder="1"/>
    <xf numFmtId="2" fontId="2" fillId="9" borderId="0" xfId="1" applyNumberFormat="1" applyFont="1" applyFill="1"/>
    <xf numFmtId="0" fontId="3" fillId="9" borderId="0" xfId="1" applyFont="1" applyFill="1"/>
    <xf numFmtId="0" fontId="2" fillId="13" borderId="7" xfId="1" applyFont="1" applyFill="1" applyBorder="1"/>
    <xf numFmtId="0" fontId="7" fillId="10" borderId="4" xfId="1" applyFont="1" applyFill="1" applyBorder="1" applyAlignment="1">
      <alignment horizontal="center"/>
    </xf>
    <xf numFmtId="0" fontId="7" fillId="10" borderId="9" xfId="1" applyFont="1" applyFill="1" applyBorder="1" applyAlignment="1">
      <alignment horizontal="center"/>
    </xf>
    <xf numFmtId="0" fontId="7" fillId="10" borderId="5" xfId="1" applyFont="1" applyFill="1" applyBorder="1" applyAlignment="1">
      <alignment horizontal="center"/>
    </xf>
    <xf numFmtId="0" fontId="7" fillId="10" borderId="6" xfId="1" applyFont="1" applyFill="1" applyBorder="1" applyAlignment="1">
      <alignment horizontal="center"/>
    </xf>
    <xf numFmtId="2" fontId="4" fillId="9" borderId="7" xfId="1" applyNumberFormat="1" applyFont="1" applyFill="1" applyBorder="1" applyAlignment="1">
      <alignment horizontal="center"/>
    </xf>
    <xf numFmtId="164" fontId="2" fillId="9" borderId="7" xfId="1" applyNumberFormat="1" applyFont="1" applyFill="1" applyBorder="1"/>
    <xf numFmtId="2" fontId="2" fillId="9" borderId="7" xfId="1" applyNumberFormat="1" applyFont="1" applyFill="1" applyBorder="1"/>
    <xf numFmtId="0" fontId="9" fillId="9" borderId="0" xfId="1" applyFont="1" applyFill="1" applyBorder="1"/>
    <xf numFmtId="2" fontId="2" fillId="9" borderId="0" xfId="1" applyNumberFormat="1" applyFont="1" applyFill="1" applyBorder="1"/>
    <xf numFmtId="2" fontId="2" fillId="15" borderId="7" xfId="1" applyNumberFormat="1" applyFont="1" applyFill="1" applyBorder="1"/>
    <xf numFmtId="2" fontId="2" fillId="9" borderId="10" xfId="1" applyNumberFormat="1" applyFont="1" applyFill="1" applyBorder="1"/>
    <xf numFmtId="0" fontId="5" fillId="5" borderId="14" xfId="1" applyFont="1" applyFill="1" applyBorder="1" applyAlignment="1">
      <alignment horizontal="center"/>
    </xf>
    <xf numFmtId="0" fontId="5" fillId="6" borderId="15" xfId="1" applyFont="1" applyFill="1" applyBorder="1" applyAlignment="1">
      <alignment horizontal="center"/>
    </xf>
    <xf numFmtId="0" fontId="10" fillId="14" borderId="15" xfId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7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8" borderId="15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9" fontId="3" fillId="3" borderId="15" xfId="1" applyNumberFormat="1" applyFont="1" applyFill="1" applyBorder="1" applyAlignment="1">
      <alignment horizontal="center"/>
    </xf>
    <xf numFmtId="9" fontId="3" fillId="3" borderId="16" xfId="1" applyNumberFormat="1" applyFont="1" applyFill="1" applyBorder="1" applyAlignment="1">
      <alignment horizontal="center"/>
    </xf>
    <xf numFmtId="16" fontId="2" fillId="9" borderId="18" xfId="1" applyNumberFormat="1" applyFont="1" applyFill="1" applyBorder="1" applyAlignment="1">
      <alignment horizontal="center"/>
    </xf>
    <xf numFmtId="0" fontId="3" fillId="9" borderId="0" xfId="1" applyFont="1" applyFill="1" applyBorder="1" applyAlignment="1"/>
    <xf numFmtId="16" fontId="2" fillId="9" borderId="19" xfId="1" applyNumberFormat="1" applyFont="1" applyFill="1" applyBorder="1" applyAlignment="1">
      <alignment horizontal="center"/>
    </xf>
    <xf numFmtId="2" fontId="2" fillId="9" borderId="20" xfId="1" applyNumberFormat="1" applyFont="1" applyFill="1" applyBorder="1" applyAlignment="1">
      <alignment horizontal="center"/>
    </xf>
    <xf numFmtId="0" fontId="2" fillId="9" borderId="20" xfId="1" applyFont="1" applyFill="1" applyBorder="1" applyAlignment="1">
      <alignment horizontal="center"/>
    </xf>
    <xf numFmtId="2" fontId="4" fillId="9" borderId="20" xfId="1" applyNumberFormat="1" applyFont="1" applyFill="1" applyBorder="1" applyAlignment="1">
      <alignment horizontal="center"/>
    </xf>
    <xf numFmtId="164" fontId="2" fillId="9" borderId="20" xfId="1" applyNumberFormat="1" applyFont="1" applyFill="1" applyBorder="1"/>
    <xf numFmtId="2" fontId="2" fillId="9" borderId="20" xfId="1" applyNumberFormat="1" applyFont="1" applyFill="1" applyBorder="1"/>
    <xf numFmtId="2" fontId="2" fillId="9" borderId="21" xfId="1" applyNumberFormat="1" applyFont="1" applyFill="1" applyBorder="1"/>
    <xf numFmtId="2" fontId="2" fillId="15" borderId="20" xfId="1" applyNumberFormat="1" applyFont="1" applyFill="1" applyBorder="1"/>
    <xf numFmtId="2" fontId="12" fillId="9" borderId="7" xfId="1" applyNumberFormat="1" applyFont="1" applyFill="1" applyBorder="1" applyAlignment="1">
      <alignment horizontal="center"/>
    </xf>
    <xf numFmtId="2" fontId="5" fillId="9" borderId="7" xfId="1" applyNumberFormat="1" applyFont="1" applyFill="1" applyBorder="1" applyAlignment="1">
      <alignment horizontal="center"/>
    </xf>
    <xf numFmtId="164" fontId="5" fillId="9" borderId="7" xfId="1" applyNumberFormat="1" applyFont="1" applyFill="1" applyBorder="1"/>
    <xf numFmtId="16" fontId="2" fillId="9" borderId="17" xfId="1" applyNumberFormat="1" applyFont="1" applyFill="1" applyBorder="1" applyAlignment="1">
      <alignment horizontal="center"/>
    </xf>
    <xf numFmtId="2" fontId="2" fillId="9" borderId="11" xfId="1" applyNumberFormat="1" applyFont="1" applyFill="1" applyBorder="1" applyAlignment="1">
      <alignment horizontal="center"/>
    </xf>
    <xf numFmtId="2" fontId="4" fillId="9" borderId="11" xfId="1" applyNumberFormat="1" applyFont="1" applyFill="1" applyBorder="1" applyAlignment="1">
      <alignment horizontal="center"/>
    </xf>
    <xf numFmtId="164" fontId="2" fillId="9" borderId="11" xfId="1" applyNumberFormat="1" applyFont="1" applyFill="1" applyBorder="1"/>
    <xf numFmtId="2" fontId="2" fillId="9" borderId="11" xfId="1" applyNumberFormat="1" applyFont="1" applyFill="1" applyBorder="1"/>
    <xf numFmtId="2" fontId="2" fillId="9" borderId="12" xfId="1" applyNumberFormat="1" applyFont="1" applyFill="1" applyBorder="1"/>
    <xf numFmtId="16" fontId="2" fillId="17" borderId="18" xfId="1" applyNumberFormat="1" applyFont="1" applyFill="1" applyBorder="1" applyAlignment="1">
      <alignment horizontal="center"/>
    </xf>
    <xf numFmtId="2" fontId="2" fillId="17" borderId="7" xfId="1" applyNumberFormat="1" applyFont="1" applyFill="1" applyBorder="1" applyAlignment="1">
      <alignment horizontal="center"/>
    </xf>
    <xf numFmtId="2" fontId="2" fillId="17" borderId="7" xfId="1" applyNumberFormat="1" applyFont="1" applyFill="1" applyBorder="1"/>
    <xf numFmtId="2" fontId="2" fillId="17" borderId="10" xfId="1" applyNumberFormat="1" applyFont="1" applyFill="1" applyBorder="1"/>
    <xf numFmtId="2" fontId="2" fillId="15" borderId="11" xfId="1" applyNumberFormat="1" applyFont="1" applyFill="1" applyBorder="1"/>
    <xf numFmtId="2" fontId="4" fillId="17" borderId="7" xfId="1" applyNumberFormat="1" applyFont="1" applyFill="1" applyBorder="1" applyAlignment="1">
      <alignment horizontal="center"/>
    </xf>
    <xf numFmtId="164" fontId="2" fillId="17" borderId="7" xfId="1" applyNumberFormat="1" applyFont="1" applyFill="1" applyBorder="1"/>
    <xf numFmtId="16" fontId="5" fillId="13" borderId="18" xfId="1" applyNumberFormat="1" applyFont="1" applyFill="1" applyBorder="1" applyAlignment="1">
      <alignment horizontal="center"/>
    </xf>
    <xf numFmtId="2" fontId="12" fillId="13" borderId="7" xfId="1" applyNumberFormat="1" applyFont="1" applyFill="1" applyBorder="1" applyAlignment="1">
      <alignment horizontal="center"/>
    </xf>
    <xf numFmtId="164" fontId="5" fillId="13" borderId="7" xfId="1" applyNumberFormat="1" applyFont="1" applyFill="1" applyBorder="1"/>
    <xf numFmtId="0" fontId="2" fillId="17" borderId="0" xfId="1" applyFont="1" applyFill="1"/>
    <xf numFmtId="2" fontId="5" fillId="13" borderId="7" xfId="1" applyNumberFormat="1" applyFont="1" applyFill="1" applyBorder="1" applyAlignment="1">
      <alignment horizontal="center"/>
    </xf>
    <xf numFmtId="2" fontId="2" fillId="13" borderId="7" xfId="1" applyNumberFormat="1" applyFont="1" applyFill="1" applyBorder="1" applyAlignment="1">
      <alignment horizontal="center"/>
    </xf>
    <xf numFmtId="164" fontId="2" fillId="13" borderId="7" xfId="1" applyNumberFormat="1" applyFont="1" applyFill="1" applyBorder="1"/>
    <xf numFmtId="16" fontId="2" fillId="0" borderId="18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8" fillId="10" borderId="4" xfId="1" applyFont="1" applyFill="1" applyBorder="1" applyAlignment="1">
      <alignment horizontal="center"/>
    </xf>
    <xf numFmtId="0" fontId="8" fillId="10" borderId="5" xfId="1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11" fillId="12" borderId="1" xfId="1" applyFont="1" applyFill="1" applyBorder="1" applyAlignment="1">
      <alignment horizontal="center" vertical="center"/>
    </xf>
    <xf numFmtId="0" fontId="11" fillId="12" borderId="2" xfId="1" applyFont="1" applyFill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top"/>
    </xf>
    <xf numFmtId="0" fontId="3" fillId="16" borderId="9" xfId="1" applyFont="1" applyFill="1" applyBorder="1" applyAlignment="1">
      <alignment horizontal="center" vertical="center" textRotation="45" wrapText="1"/>
    </xf>
    <xf numFmtId="0" fontId="3" fillId="16" borderId="13" xfId="1" applyFont="1" applyFill="1" applyBorder="1" applyAlignment="1">
      <alignment horizontal="center" vertical="center" textRotation="45" wrapText="1"/>
    </xf>
    <xf numFmtId="2" fontId="12" fillId="0" borderId="7" xfId="1" applyNumberFormat="1" applyFont="1" applyFill="1" applyBorder="1" applyAlignment="1">
      <alignment horizontal="center"/>
    </xf>
    <xf numFmtId="2" fontId="5" fillId="0" borderId="7" xfId="1" applyNumberFormat="1" applyFont="1" applyFill="1" applyBorder="1" applyAlignment="1">
      <alignment horizontal="center"/>
    </xf>
    <xf numFmtId="164" fontId="5" fillId="0" borderId="7" xfId="1" applyNumberFormat="1" applyFont="1" applyFill="1" applyBorder="1"/>
    <xf numFmtId="164" fontId="2" fillId="0" borderId="7" xfId="1" applyNumberFormat="1" applyFont="1" applyFill="1" applyBorder="1"/>
    <xf numFmtId="2" fontId="4" fillId="0" borderId="7" xfId="1" applyNumberFormat="1" applyFont="1" applyFill="1" applyBorder="1" applyAlignment="1">
      <alignment horizontal="center"/>
    </xf>
    <xf numFmtId="2" fontId="4" fillId="18" borderId="7" xfId="1" applyNumberFormat="1" applyFont="1" applyFill="1" applyBorder="1" applyAlignment="1">
      <alignment horizontal="center"/>
    </xf>
    <xf numFmtId="2" fontId="2" fillId="18" borderId="7" xfId="1" applyNumberFormat="1" applyFont="1" applyFill="1" applyBorder="1" applyAlignment="1">
      <alignment horizontal="center"/>
    </xf>
    <xf numFmtId="164" fontId="5" fillId="18" borderId="7" xfId="1" applyNumberFormat="1" applyFont="1" applyFill="1" applyBorder="1"/>
    <xf numFmtId="164" fontId="2" fillId="18" borderId="7" xfId="1" applyNumberFormat="1" applyFont="1" applyFill="1" applyBorder="1"/>
    <xf numFmtId="0" fontId="5" fillId="18" borderId="7" xfId="1" applyNumberFormat="1" applyFont="1" applyFill="1" applyBorder="1"/>
    <xf numFmtId="0" fontId="2" fillId="0" borderId="7" xfId="1" applyFont="1" applyFill="1" applyBorder="1" applyAlignment="1">
      <alignment horizontal="center"/>
    </xf>
    <xf numFmtId="0" fontId="5" fillId="0" borderId="7" xfId="1" applyNumberFormat="1" applyFont="1" applyFill="1" applyBorder="1"/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FF5B5B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2"/>
  <sheetViews>
    <sheetView tabSelected="1" topLeftCell="A25" zoomScale="90" zoomScaleNormal="90" workbookViewId="0">
      <selection activeCell="B27" sqref="B27:D27"/>
    </sheetView>
  </sheetViews>
  <sheetFormatPr baseColWidth="10" defaultColWidth="11.7109375" defaultRowHeight="18" x14ac:dyDescent="0.25"/>
  <cols>
    <col min="1" max="7" width="15.7109375" style="1" customWidth="1"/>
    <col min="8" max="8" width="15.85546875" style="1" customWidth="1"/>
    <col min="9" max="9" width="16.7109375" style="1" customWidth="1"/>
    <col min="10" max="17" width="15.7109375" style="1" customWidth="1"/>
    <col min="18" max="18" width="19.42578125" style="1" customWidth="1"/>
    <col min="19" max="19" width="26.85546875" style="1" customWidth="1"/>
    <col min="20" max="20" width="15.7109375" style="1" customWidth="1"/>
    <col min="21" max="21" width="11.7109375" style="1"/>
    <col min="22" max="22" width="14.5703125" style="1" bestFit="1" customWidth="1"/>
    <col min="23" max="24" width="13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141" ht="12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41" ht="1.5" customHeight="1" thickBot="1" x14ac:dyDescent="0.3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141" ht="31.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4"/>
      <c r="K3" s="75"/>
      <c r="L3" s="75"/>
      <c r="M3" s="75"/>
      <c r="N3" s="75"/>
      <c r="O3" s="75"/>
      <c r="P3" s="75"/>
      <c r="Q3" s="75"/>
      <c r="R3" s="5"/>
      <c r="S3" s="5"/>
      <c r="T3" s="5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41" s="5" customFormat="1" ht="18" customHeight="1" thickBot="1" x14ac:dyDescent="0.35">
      <c r="A4" s="76" t="s">
        <v>21</v>
      </c>
      <c r="B4" s="71" t="s">
        <v>20</v>
      </c>
      <c r="C4" s="69"/>
      <c r="D4" s="70"/>
      <c r="E4" s="69" t="s">
        <v>19</v>
      </c>
      <c r="F4" s="69"/>
      <c r="G4" s="70"/>
      <c r="H4" s="71" t="s">
        <v>0</v>
      </c>
      <c r="I4" s="69"/>
      <c r="J4" s="70"/>
      <c r="K4" s="71" t="s">
        <v>1</v>
      </c>
      <c r="L4" s="69"/>
      <c r="M4" s="70"/>
      <c r="N4" s="11" t="s">
        <v>2</v>
      </c>
      <c r="O4" s="12"/>
      <c r="P4" s="11" t="s">
        <v>3</v>
      </c>
      <c r="Q4" s="13"/>
      <c r="R4" s="13" t="s">
        <v>4</v>
      </c>
      <c r="S4" s="14" t="s">
        <v>5</v>
      </c>
      <c r="T4" s="14" t="s">
        <v>6</v>
      </c>
      <c r="U4" s="4"/>
    </row>
    <row r="5" spans="1:141" ht="18" customHeight="1" thickBot="1" x14ac:dyDescent="0.35">
      <c r="A5" s="77"/>
      <c r="B5" s="22" t="s">
        <v>7</v>
      </c>
      <c r="C5" s="23" t="s">
        <v>8</v>
      </c>
      <c r="D5" s="24" t="s">
        <v>22</v>
      </c>
      <c r="E5" s="25" t="s">
        <v>10</v>
      </c>
      <c r="F5" s="25" t="s">
        <v>11</v>
      </c>
      <c r="G5" s="25" t="s">
        <v>12</v>
      </c>
      <c r="H5" s="25" t="s">
        <v>7</v>
      </c>
      <c r="I5" s="25" t="s">
        <v>8</v>
      </c>
      <c r="J5" s="25" t="s">
        <v>9</v>
      </c>
      <c r="K5" s="26" t="s">
        <v>7</v>
      </c>
      <c r="L5" s="27" t="s">
        <v>8</v>
      </c>
      <c r="M5" s="28" t="s">
        <v>9</v>
      </c>
      <c r="N5" s="29" t="s">
        <v>13</v>
      </c>
      <c r="O5" s="30" t="s">
        <v>7</v>
      </c>
      <c r="P5" s="30" t="s">
        <v>8</v>
      </c>
      <c r="Q5" s="30" t="s">
        <v>9</v>
      </c>
      <c r="R5" s="31" t="s">
        <v>14</v>
      </c>
      <c r="S5" s="32" t="s">
        <v>15</v>
      </c>
      <c r="T5" s="33">
        <v>0.16</v>
      </c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</row>
    <row r="6" spans="1:141" s="5" customFormat="1" ht="20.25" customHeight="1" x14ac:dyDescent="0.25">
      <c r="A6" s="47">
        <v>43101</v>
      </c>
      <c r="B6" s="48">
        <f>236.36+705.54+975.53</f>
        <v>1917.4299999999998</v>
      </c>
      <c r="C6" s="48">
        <f>2.74+67.67+117.52</f>
        <v>187.93</v>
      </c>
      <c r="D6" s="48">
        <f>0+0+0</f>
        <v>0</v>
      </c>
      <c r="E6" s="49">
        <v>16.2</v>
      </c>
      <c r="F6" s="48">
        <v>18.2</v>
      </c>
      <c r="G6" s="48">
        <v>17.350000000000001</v>
      </c>
      <c r="H6" s="50">
        <v>13.616206999999999</v>
      </c>
      <c r="I6" s="50">
        <v>15.263448</v>
      </c>
      <c r="J6" s="50">
        <v>14.666983</v>
      </c>
      <c r="K6" s="51">
        <f t="shared" ref="K6:K7" si="0">B6*H6</f>
        <v>26108.123788009998</v>
      </c>
      <c r="L6" s="51">
        <f t="shared" ref="L6" si="1">C6*I6</f>
        <v>2868.45978264</v>
      </c>
      <c r="M6" s="51">
        <f t="shared" ref="M6" si="2">D6*J6</f>
        <v>0</v>
      </c>
      <c r="N6" s="57">
        <f>0+0+0</f>
        <v>0</v>
      </c>
      <c r="O6" s="51">
        <f>B6*0.4052</f>
        <v>776.94263599999999</v>
      </c>
      <c r="P6" s="51">
        <f>C6*0.4944</f>
        <v>92.912592000000004</v>
      </c>
      <c r="Q6" s="51">
        <f>D6*0.3363</f>
        <v>0</v>
      </c>
      <c r="R6" s="51">
        <f t="shared" ref="R6:R12" si="3">O6+P6+Q6</f>
        <v>869.85522800000001</v>
      </c>
      <c r="S6" s="57">
        <f t="shared" ref="S6:S12" si="4">SUM(K6+L6+M6+N6)</f>
        <v>28976.583570649997</v>
      </c>
      <c r="T6" s="52">
        <f t="shared" ref="T6:T12" si="5">S6*16%</f>
        <v>4636.2533713039993</v>
      </c>
      <c r="U6" s="4"/>
    </row>
    <row r="7" spans="1:141" s="5" customFormat="1" ht="18" customHeight="1" x14ac:dyDescent="0.25">
      <c r="A7" s="34">
        <v>43102</v>
      </c>
      <c r="B7" s="2">
        <f>67.86+653.91+1472.53</f>
        <v>2194.3000000000002</v>
      </c>
      <c r="C7" s="2">
        <f>10.98+48.83+181.53</f>
        <v>241.34</v>
      </c>
      <c r="D7" s="3">
        <f>0+0+0</f>
        <v>0</v>
      </c>
      <c r="E7" s="15">
        <v>16.2</v>
      </c>
      <c r="F7" s="2">
        <v>18.2</v>
      </c>
      <c r="G7" s="2">
        <v>17.350000000000001</v>
      </c>
      <c r="H7" s="16">
        <v>13.616206999999999</v>
      </c>
      <c r="I7" s="16">
        <v>15.263448</v>
      </c>
      <c r="J7" s="16">
        <v>14.666983</v>
      </c>
      <c r="K7" s="17">
        <f t="shared" si="0"/>
        <v>29878.043020100002</v>
      </c>
      <c r="L7" s="17">
        <f t="shared" ref="L7" si="6">C7*I7</f>
        <v>3683.6805403200001</v>
      </c>
      <c r="M7" s="17">
        <f t="shared" ref="M7" si="7">D7*J7</f>
        <v>0</v>
      </c>
      <c r="N7" s="20">
        <f>0+86.21+0</f>
        <v>86.21</v>
      </c>
      <c r="O7" s="17">
        <f t="shared" ref="O7:O42" si="8">B7*0.4052</f>
        <v>889.13036000000011</v>
      </c>
      <c r="P7" s="17">
        <f t="shared" ref="P7:P42" si="9">C7*0.4944</f>
        <v>119.318496</v>
      </c>
      <c r="Q7" s="17">
        <f t="shared" ref="Q7:Q42" si="10">D7*0.3363</f>
        <v>0</v>
      </c>
      <c r="R7" s="17">
        <f t="shared" si="3"/>
        <v>1008.4488560000001</v>
      </c>
      <c r="S7" s="20">
        <f t="shared" si="4"/>
        <v>33647.933560420002</v>
      </c>
      <c r="T7" s="21">
        <f t="shared" si="5"/>
        <v>5383.6693696672</v>
      </c>
      <c r="U7" s="4"/>
    </row>
    <row r="8" spans="1:141" s="5" customFormat="1" ht="18" customHeight="1" x14ac:dyDescent="0.25">
      <c r="A8" s="34">
        <v>43103</v>
      </c>
      <c r="B8" s="2">
        <f>221.1+1810.17</f>
        <v>2031.27</v>
      </c>
      <c r="C8" s="2">
        <f>6.09+251.26</f>
        <v>257.34999999999997</v>
      </c>
      <c r="D8" s="3">
        <f>0+0</f>
        <v>0</v>
      </c>
      <c r="E8" s="15">
        <v>16.2</v>
      </c>
      <c r="F8" s="2">
        <v>18.2</v>
      </c>
      <c r="G8" s="2">
        <v>17.350000000000001</v>
      </c>
      <c r="H8" s="16">
        <v>13.616206999999999</v>
      </c>
      <c r="I8" s="16">
        <v>15.263448</v>
      </c>
      <c r="J8" s="16">
        <v>14.666983</v>
      </c>
      <c r="K8" s="17">
        <f t="shared" ref="K8" si="11">B8*H8</f>
        <v>27658.192792889997</v>
      </c>
      <c r="L8" s="17">
        <f t="shared" ref="L8" si="12">C8*I8</f>
        <v>3928.0483427999998</v>
      </c>
      <c r="M8" s="17">
        <f t="shared" ref="M8" si="13">D8*J8</f>
        <v>0</v>
      </c>
      <c r="N8" s="20">
        <f>0+112.07</f>
        <v>112.07</v>
      </c>
      <c r="O8" s="17">
        <f t="shared" si="8"/>
        <v>823.070604</v>
      </c>
      <c r="P8" s="17">
        <f t="shared" si="9"/>
        <v>127.23383999999999</v>
      </c>
      <c r="Q8" s="17">
        <f t="shared" si="10"/>
        <v>0</v>
      </c>
      <c r="R8" s="17">
        <f t="shared" si="3"/>
        <v>950.30444399999999</v>
      </c>
      <c r="S8" s="20">
        <f t="shared" si="4"/>
        <v>31698.311135689997</v>
      </c>
      <c r="T8" s="21">
        <f t="shared" si="5"/>
        <v>5071.7297817103999</v>
      </c>
      <c r="U8" s="4"/>
    </row>
    <row r="9" spans="1:141" s="5" customFormat="1" ht="18" customHeight="1" x14ac:dyDescent="0.3">
      <c r="A9" s="60">
        <v>43103</v>
      </c>
      <c r="B9" s="2">
        <v>1502.37</v>
      </c>
      <c r="C9" s="2">
        <v>258</v>
      </c>
      <c r="D9" s="3">
        <v>0</v>
      </c>
      <c r="E9" s="61">
        <v>16.25</v>
      </c>
      <c r="F9" s="2">
        <v>18.2</v>
      </c>
      <c r="G9" s="2">
        <v>17.350000000000001</v>
      </c>
      <c r="H9" s="62">
        <v>13.65931</v>
      </c>
      <c r="I9" s="16">
        <v>15.263448</v>
      </c>
      <c r="J9" s="16">
        <v>14.666983</v>
      </c>
      <c r="K9" s="17">
        <f t="shared" ref="K9" si="14">B9*H9</f>
        <v>20521.337564699999</v>
      </c>
      <c r="L9" s="17">
        <f t="shared" ref="L9" si="15">C9*I9</f>
        <v>3937.9695839999999</v>
      </c>
      <c r="M9" s="17">
        <f t="shared" ref="M9" si="16">D9*J9</f>
        <v>0</v>
      </c>
      <c r="N9" s="20">
        <v>0</v>
      </c>
      <c r="O9" s="17">
        <f t="shared" ref="O9" si="17">B9*0.4052</f>
        <v>608.76032399999997</v>
      </c>
      <c r="P9" s="17">
        <f t="shared" ref="P9" si="18">C9*0.4944</f>
        <v>127.5552</v>
      </c>
      <c r="Q9" s="17">
        <f t="shared" ref="Q9" si="19">D9*0.3363</f>
        <v>0</v>
      </c>
      <c r="R9" s="17">
        <f t="shared" ref="R9" si="20">O9+P9+Q9</f>
        <v>736.31552399999998</v>
      </c>
      <c r="S9" s="20">
        <f t="shared" ref="S9" si="21">SUM(K9+L9+M9+N9)</f>
        <v>24459.307148699998</v>
      </c>
      <c r="T9" s="21">
        <f t="shared" ref="T9" si="22">S9*16%</f>
        <v>3913.4891437919996</v>
      </c>
      <c r="U9" s="4"/>
    </row>
    <row r="10" spans="1:141" s="5" customFormat="1" ht="18" customHeight="1" x14ac:dyDescent="0.25">
      <c r="A10" s="34">
        <v>43104</v>
      </c>
      <c r="B10" s="2">
        <f>177.13+1383.14+1381.91</f>
        <v>2942.1800000000003</v>
      </c>
      <c r="C10" s="2">
        <f>10+102.36+126.73</f>
        <v>239.09</v>
      </c>
      <c r="D10" s="3">
        <f>0+0+0</f>
        <v>0</v>
      </c>
      <c r="E10" s="15">
        <v>16.25</v>
      </c>
      <c r="F10" s="2">
        <v>18.2</v>
      </c>
      <c r="G10" s="2">
        <v>17.350000000000001</v>
      </c>
      <c r="H10" s="16">
        <v>13.65931</v>
      </c>
      <c r="I10" s="16">
        <v>15.263448</v>
      </c>
      <c r="J10" s="16">
        <v>14.666983</v>
      </c>
      <c r="K10" s="17">
        <f t="shared" ref="K10" si="23">B10*H10</f>
        <v>40188.148695800002</v>
      </c>
      <c r="L10" s="17">
        <f t="shared" ref="L10" si="24">C10*I10</f>
        <v>3649.3377823200003</v>
      </c>
      <c r="M10" s="17">
        <f t="shared" ref="M10" si="25">D10*J10</f>
        <v>0</v>
      </c>
      <c r="N10" s="20">
        <f>0+43.1+0</f>
        <v>43.1</v>
      </c>
      <c r="O10" s="17">
        <f t="shared" si="8"/>
        <v>1192.1713360000001</v>
      </c>
      <c r="P10" s="17">
        <f t="shared" si="9"/>
        <v>118.206096</v>
      </c>
      <c r="Q10" s="17">
        <f t="shared" si="10"/>
        <v>0</v>
      </c>
      <c r="R10" s="17">
        <f t="shared" si="3"/>
        <v>1310.3774320000002</v>
      </c>
      <c r="S10" s="20">
        <f t="shared" si="4"/>
        <v>43880.58647812</v>
      </c>
      <c r="T10" s="21">
        <f t="shared" si="5"/>
        <v>7020.8938364992</v>
      </c>
      <c r="U10" s="4"/>
    </row>
    <row r="11" spans="1:141" s="5" customFormat="1" ht="18" customHeight="1" x14ac:dyDescent="0.25">
      <c r="A11" s="34">
        <v>43105</v>
      </c>
      <c r="B11" s="2">
        <f>287.1+1277.15+1746.39</f>
        <v>3310.6400000000003</v>
      </c>
      <c r="C11" s="2">
        <f>29.04+137.33+198.58</f>
        <v>364.95000000000005</v>
      </c>
      <c r="D11" s="3">
        <f>0+0+0</f>
        <v>0</v>
      </c>
      <c r="E11" s="15">
        <v>16.25</v>
      </c>
      <c r="F11" s="2">
        <v>18.2</v>
      </c>
      <c r="G11" s="2">
        <v>17.350000000000001</v>
      </c>
      <c r="H11" s="16">
        <v>13.65931</v>
      </c>
      <c r="I11" s="16">
        <v>15.263448</v>
      </c>
      <c r="J11" s="16">
        <v>14.666983</v>
      </c>
      <c r="K11" s="17">
        <f t="shared" ref="K11:M11" si="26">B11*H11</f>
        <v>45221.058058400005</v>
      </c>
      <c r="L11" s="17">
        <f t="shared" si="26"/>
        <v>5570.3953476000006</v>
      </c>
      <c r="M11" s="17">
        <f t="shared" si="26"/>
        <v>0</v>
      </c>
      <c r="N11" s="20">
        <f>38.79+0+56.03</f>
        <v>94.82</v>
      </c>
      <c r="O11" s="17">
        <f t="shared" si="8"/>
        <v>1341.4713280000001</v>
      </c>
      <c r="P11" s="17">
        <f t="shared" si="9"/>
        <v>180.43128000000002</v>
      </c>
      <c r="Q11" s="17">
        <f t="shared" si="10"/>
        <v>0</v>
      </c>
      <c r="R11" s="17">
        <f t="shared" si="3"/>
        <v>1521.9026080000001</v>
      </c>
      <c r="S11" s="20">
        <f t="shared" si="4"/>
        <v>50886.273406000008</v>
      </c>
      <c r="T11" s="21">
        <f t="shared" si="5"/>
        <v>8141.8037449600015</v>
      </c>
    </row>
    <row r="12" spans="1:141" s="63" customFormat="1" ht="18" customHeight="1" x14ac:dyDescent="0.25">
      <c r="A12" s="34">
        <v>43106</v>
      </c>
      <c r="B12" s="2">
        <f>261.06+1602.23+1529.86</f>
        <v>3393.1499999999996</v>
      </c>
      <c r="C12" s="2">
        <f>10.98+198.87+68.58</f>
        <v>278.43</v>
      </c>
      <c r="D12" s="3">
        <f>0+0+0</f>
        <v>0</v>
      </c>
      <c r="E12" s="15">
        <v>16.25</v>
      </c>
      <c r="F12" s="2">
        <v>18.2</v>
      </c>
      <c r="G12" s="2">
        <v>17.350000000000001</v>
      </c>
      <c r="H12" s="16">
        <v>13.65931</v>
      </c>
      <c r="I12" s="16">
        <v>15.263448</v>
      </c>
      <c r="J12" s="16">
        <v>14.666983</v>
      </c>
      <c r="K12" s="17">
        <f>B12*H12</f>
        <v>46348.087726499994</v>
      </c>
      <c r="L12" s="17">
        <f>C12*I12</f>
        <v>4249.8018266400004</v>
      </c>
      <c r="M12" s="17">
        <f>D12*J12</f>
        <v>0</v>
      </c>
      <c r="N12" s="20">
        <f>0+0+160.34</f>
        <v>160.34</v>
      </c>
      <c r="O12" s="17">
        <f t="shared" si="8"/>
        <v>1374.9043799999999</v>
      </c>
      <c r="P12" s="17">
        <f t="shared" si="9"/>
        <v>137.65579199999999</v>
      </c>
      <c r="Q12" s="17">
        <f t="shared" si="10"/>
        <v>0</v>
      </c>
      <c r="R12" s="17">
        <f t="shared" si="3"/>
        <v>1512.560172</v>
      </c>
      <c r="S12" s="20">
        <f t="shared" si="4"/>
        <v>50758.229553139994</v>
      </c>
      <c r="T12" s="21">
        <f t="shared" si="5"/>
        <v>8121.3167285023992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141" s="5" customFormat="1" ht="18" customHeight="1" x14ac:dyDescent="0.25">
      <c r="A13" s="34">
        <v>43107</v>
      </c>
      <c r="B13" s="2">
        <f>274.6+1239.44+1096.13</f>
        <v>2610.17</v>
      </c>
      <c r="C13" s="2">
        <f>17.56+167.76+114.29</f>
        <v>299.61</v>
      </c>
      <c r="D13" s="3">
        <f>0+0+0</f>
        <v>0</v>
      </c>
      <c r="E13" s="15">
        <v>16.25</v>
      </c>
      <c r="F13" s="2">
        <v>18.2</v>
      </c>
      <c r="G13" s="2">
        <v>17.350000000000001</v>
      </c>
      <c r="H13" s="16">
        <v>13.65931</v>
      </c>
      <c r="I13" s="16">
        <v>15.263448</v>
      </c>
      <c r="J13" s="16">
        <v>14.666983</v>
      </c>
      <c r="K13" s="17">
        <f>B13*H13</f>
        <v>35653.121182700001</v>
      </c>
      <c r="L13" s="17">
        <f t="shared" ref="L13:L34" si="27">C13*I13</f>
        <v>4573.0816552800006</v>
      </c>
      <c r="M13" s="17">
        <f t="shared" ref="M13:M31" si="28">D13*J13</f>
        <v>0</v>
      </c>
      <c r="N13" s="20">
        <f>0+0+112.07</f>
        <v>112.07</v>
      </c>
      <c r="O13" s="17">
        <f t="shared" si="8"/>
        <v>1057.6408840000001</v>
      </c>
      <c r="P13" s="17">
        <f t="shared" si="9"/>
        <v>148.127184</v>
      </c>
      <c r="Q13" s="17">
        <f t="shared" si="10"/>
        <v>0</v>
      </c>
      <c r="R13" s="17">
        <f t="shared" ref="R13:R42" si="29">O13+P13+Q13</f>
        <v>1205.7680680000001</v>
      </c>
      <c r="S13" s="20">
        <f t="shared" ref="S13:S42" si="30">SUM(K13+L13+M13+N13)</f>
        <v>40338.272837980003</v>
      </c>
      <c r="T13" s="21">
        <f t="shared" ref="T13:T35" si="31">S13*16%</f>
        <v>6454.1236540768004</v>
      </c>
    </row>
    <row r="14" spans="1:141" s="5" customFormat="1" ht="18" customHeight="1" x14ac:dyDescent="0.25">
      <c r="A14" s="34">
        <v>43108</v>
      </c>
      <c r="B14" s="2">
        <f>122.74+1788.81+1672.96</f>
        <v>3584.51</v>
      </c>
      <c r="C14" s="2">
        <f>0+137.65+170.59</f>
        <v>308.24</v>
      </c>
      <c r="D14" s="3">
        <f>0+0+0</f>
        <v>0</v>
      </c>
      <c r="E14" s="15">
        <v>16.25</v>
      </c>
      <c r="F14" s="2">
        <v>18.2</v>
      </c>
      <c r="G14" s="2">
        <v>17.350000000000001</v>
      </c>
      <c r="H14" s="16">
        <v>13.65931</v>
      </c>
      <c r="I14" s="16">
        <v>15.263448</v>
      </c>
      <c r="J14" s="16">
        <v>14.666983</v>
      </c>
      <c r="K14" s="17">
        <f>B14*H14</f>
        <v>48961.933288100001</v>
      </c>
      <c r="L14" s="17">
        <f t="shared" si="27"/>
        <v>4704.8052115199998</v>
      </c>
      <c r="M14" s="17">
        <f t="shared" si="28"/>
        <v>0</v>
      </c>
      <c r="N14" s="20">
        <f>0+344.83+0</f>
        <v>344.83</v>
      </c>
      <c r="O14" s="17">
        <f>B14*0.4052</f>
        <v>1452.4434520000002</v>
      </c>
      <c r="P14" s="17">
        <f t="shared" si="9"/>
        <v>152.393856</v>
      </c>
      <c r="Q14" s="17">
        <f t="shared" si="10"/>
        <v>0</v>
      </c>
      <c r="R14" s="17">
        <f t="shared" ref="R14" si="32">O14+P14+Q14</f>
        <v>1604.8373080000001</v>
      </c>
      <c r="S14" s="20">
        <f t="shared" ref="S14" si="33">SUM(K14+L14+M14+N14)</f>
        <v>54011.56849962</v>
      </c>
      <c r="T14" s="21">
        <f t="shared" ref="T14" si="34">S14*16%</f>
        <v>8641.8509599392</v>
      </c>
    </row>
    <row r="15" spans="1:141" s="5" customFormat="1" ht="18" customHeight="1" x14ac:dyDescent="0.25">
      <c r="A15" s="34">
        <v>43109</v>
      </c>
      <c r="B15" s="2">
        <f>132.57+936.81</f>
        <v>1069.3799999999999</v>
      </c>
      <c r="C15" s="2">
        <f>0+62.54</f>
        <v>62.54</v>
      </c>
      <c r="D15" s="3">
        <f>0+0</f>
        <v>0</v>
      </c>
      <c r="E15" s="15">
        <v>16.25</v>
      </c>
      <c r="F15" s="2">
        <v>18.2</v>
      </c>
      <c r="G15" s="2">
        <v>17.350000000000001</v>
      </c>
      <c r="H15" s="16">
        <v>13.65931</v>
      </c>
      <c r="I15" s="16">
        <v>15.263448</v>
      </c>
      <c r="J15" s="16">
        <v>14.666983</v>
      </c>
      <c r="K15" s="17">
        <f>B15*H15</f>
        <v>14606.992927799998</v>
      </c>
      <c r="L15" s="17">
        <f t="shared" ref="L15" si="35">C15*I15</f>
        <v>954.57603791999998</v>
      </c>
      <c r="M15" s="17">
        <f t="shared" ref="M15" si="36">D15*J15</f>
        <v>0</v>
      </c>
      <c r="N15" s="20">
        <f>56.03+0</f>
        <v>56.03</v>
      </c>
      <c r="O15" s="17">
        <f>B15*0.4052</f>
        <v>433.31277599999999</v>
      </c>
      <c r="P15" s="17">
        <f t="shared" ref="P15" si="37">C15*0.4944</f>
        <v>30.919775999999999</v>
      </c>
      <c r="Q15" s="17">
        <f t="shared" ref="Q15" si="38">D15*0.3363</f>
        <v>0</v>
      </c>
      <c r="R15" s="17">
        <f t="shared" ref="R15" si="39">O15+P15+Q15</f>
        <v>464.232552</v>
      </c>
      <c r="S15" s="20">
        <f t="shared" ref="S15" si="40">SUM(K15+L15+M15+N15)</f>
        <v>15617.598965719999</v>
      </c>
      <c r="T15" s="21">
        <f t="shared" ref="T15" si="41">S15*16%</f>
        <v>2498.8158345152001</v>
      </c>
    </row>
    <row r="16" spans="1:141" s="5" customFormat="1" ht="18" customHeight="1" x14ac:dyDescent="0.3">
      <c r="A16" s="60">
        <v>43109</v>
      </c>
      <c r="B16" s="2">
        <v>1245.5</v>
      </c>
      <c r="C16" s="2">
        <v>201.87</v>
      </c>
      <c r="D16" s="3">
        <v>0</v>
      </c>
      <c r="E16" s="61">
        <v>16.350000000000001</v>
      </c>
      <c r="F16" s="64">
        <v>18.25</v>
      </c>
      <c r="G16" s="2">
        <v>17.350000000000001</v>
      </c>
      <c r="H16" s="62">
        <v>13.745517</v>
      </c>
      <c r="I16" s="62">
        <v>15.306552</v>
      </c>
      <c r="J16" s="16">
        <v>14.666983</v>
      </c>
      <c r="K16" s="17">
        <f t="shared" ref="K16:K34" si="42">B16*H16</f>
        <v>17120.041423499999</v>
      </c>
      <c r="L16" s="17">
        <f t="shared" si="27"/>
        <v>3089.9336522399999</v>
      </c>
      <c r="M16" s="17">
        <f t="shared" si="28"/>
        <v>0</v>
      </c>
      <c r="N16" s="20">
        <v>34.479999999999997</v>
      </c>
      <c r="O16" s="17">
        <f t="shared" si="8"/>
        <v>504.67660000000001</v>
      </c>
      <c r="P16" s="17">
        <f t="shared" si="9"/>
        <v>99.804528000000005</v>
      </c>
      <c r="Q16" s="17">
        <f t="shared" si="10"/>
        <v>0</v>
      </c>
      <c r="R16" s="17">
        <f t="shared" ref="R16" si="43">O16+P16+Q16</f>
        <v>604.48112800000001</v>
      </c>
      <c r="S16" s="20">
        <f t="shared" ref="S16" si="44">SUM(K16+L16+M16+N16)</f>
        <v>20244.455075739999</v>
      </c>
      <c r="T16" s="21">
        <f t="shared" ref="T16" si="45">S16*16%</f>
        <v>3239.1128121184001</v>
      </c>
    </row>
    <row r="17" spans="1:28" s="5" customFormat="1" ht="18" customHeight="1" x14ac:dyDescent="0.25">
      <c r="A17" s="34">
        <v>43110</v>
      </c>
      <c r="B17" s="2">
        <v>2625.63</v>
      </c>
      <c r="C17" s="2">
        <v>368.36</v>
      </c>
      <c r="D17" s="3">
        <v>0</v>
      </c>
      <c r="E17" s="15">
        <v>16.350000000000001</v>
      </c>
      <c r="F17" s="2">
        <v>18.25</v>
      </c>
      <c r="G17" s="2">
        <v>17.350000000000001</v>
      </c>
      <c r="H17" s="16">
        <v>13.745517</v>
      </c>
      <c r="I17" s="16">
        <v>15.306552</v>
      </c>
      <c r="J17" s="16">
        <v>14.666983</v>
      </c>
      <c r="K17" s="17">
        <f t="shared" ref="K17" si="46">B17*H17</f>
        <v>36090.64180071</v>
      </c>
      <c r="L17" s="17">
        <f t="shared" ref="L17" si="47">C17*I17</f>
        <v>5638.3214947200004</v>
      </c>
      <c r="M17" s="17">
        <f t="shared" ref="M17" si="48">D17*J17</f>
        <v>0</v>
      </c>
      <c r="N17" s="20">
        <v>347.41</v>
      </c>
      <c r="O17" s="17">
        <f t="shared" si="8"/>
        <v>1063.905276</v>
      </c>
      <c r="P17" s="17">
        <f t="shared" si="9"/>
        <v>182.11718400000001</v>
      </c>
      <c r="Q17" s="17">
        <f t="shared" si="10"/>
        <v>0</v>
      </c>
      <c r="R17" s="17">
        <f t="shared" ref="R17" si="49">O17+P17+Q17</f>
        <v>1246.0224599999999</v>
      </c>
      <c r="S17" s="20">
        <f t="shared" ref="S17" si="50">SUM(K17+L17+M17+N17)</f>
        <v>42076.373295430007</v>
      </c>
      <c r="T17" s="21">
        <f t="shared" ref="T17" si="51">S17*16%</f>
        <v>6732.2197272688009</v>
      </c>
    </row>
    <row r="18" spans="1:28" s="5" customFormat="1" ht="18" customHeight="1" x14ac:dyDescent="0.25">
      <c r="A18" s="34">
        <v>43111</v>
      </c>
      <c r="B18" s="2">
        <f>277.48+1240.98+2180.83</f>
        <v>3699.29</v>
      </c>
      <c r="C18" s="2">
        <f>53.81+158.66+222.96</f>
        <v>435.43</v>
      </c>
      <c r="D18" s="2">
        <f>0+0+0</f>
        <v>0</v>
      </c>
      <c r="E18" s="15">
        <v>16.350000000000001</v>
      </c>
      <c r="F18" s="2">
        <v>18.25</v>
      </c>
      <c r="G18" s="2">
        <v>17.350000000000001</v>
      </c>
      <c r="H18" s="16">
        <v>13.745517</v>
      </c>
      <c r="I18" s="16">
        <v>15.306552</v>
      </c>
      <c r="J18" s="16">
        <v>14.666983</v>
      </c>
      <c r="K18" s="17">
        <f t="shared" ref="K18:L21" si="52">B18*H18</f>
        <v>50848.653582929997</v>
      </c>
      <c r="L18" s="17">
        <f t="shared" si="52"/>
        <v>6664.9319373600001</v>
      </c>
      <c r="M18" s="17">
        <f t="shared" si="28"/>
        <v>0</v>
      </c>
      <c r="N18" s="20">
        <f>0+34.48+278.45</f>
        <v>312.93</v>
      </c>
      <c r="O18" s="17">
        <f t="shared" si="8"/>
        <v>1498.9523079999999</v>
      </c>
      <c r="P18" s="17">
        <f t="shared" si="9"/>
        <v>215.27659199999999</v>
      </c>
      <c r="Q18" s="17">
        <f t="shared" si="10"/>
        <v>0</v>
      </c>
      <c r="R18" s="17">
        <f t="shared" si="29"/>
        <v>1714.2288999999998</v>
      </c>
      <c r="S18" s="20">
        <f t="shared" si="30"/>
        <v>57826.515520289999</v>
      </c>
      <c r="T18" s="21">
        <f>S18*16%</f>
        <v>9252.2424832464003</v>
      </c>
    </row>
    <row r="19" spans="1:28" s="5" customFormat="1" ht="18" customHeight="1" x14ac:dyDescent="0.25">
      <c r="A19" s="53">
        <v>43112</v>
      </c>
      <c r="B19" s="54">
        <v>2004.14</v>
      </c>
      <c r="C19" s="54">
        <v>183.95</v>
      </c>
      <c r="D19" s="54"/>
      <c r="E19" s="58">
        <v>16.350000000000001</v>
      </c>
      <c r="F19" s="54">
        <v>18.25</v>
      </c>
      <c r="G19" s="54">
        <v>17.350000000000001</v>
      </c>
      <c r="H19" s="59">
        <v>13.745517</v>
      </c>
      <c r="I19" s="59">
        <v>15.306552</v>
      </c>
      <c r="J19" s="59">
        <v>14.666983</v>
      </c>
      <c r="K19" s="55">
        <f t="shared" ref="K19" si="53">B19*H19</f>
        <v>27547.94044038</v>
      </c>
      <c r="L19" s="55">
        <f t="shared" ref="L19" si="54">C19*I19</f>
        <v>2815.6402404</v>
      </c>
      <c r="M19" s="55">
        <f t="shared" ref="M19" si="55">D19*J19</f>
        <v>0</v>
      </c>
      <c r="N19" s="55">
        <v>99.14</v>
      </c>
      <c r="O19" s="55">
        <f t="shared" ref="O19" si="56">B19*0.4052</f>
        <v>812.07752800000003</v>
      </c>
      <c r="P19" s="55">
        <f t="shared" ref="P19" si="57">C19*0.4944</f>
        <v>90.944879999999998</v>
      </c>
      <c r="Q19" s="55">
        <f t="shared" ref="Q19" si="58">D19*0.3363</f>
        <v>0</v>
      </c>
      <c r="R19" s="55">
        <f t="shared" ref="R19" si="59">O19+P19+Q19</f>
        <v>903.02240800000004</v>
      </c>
      <c r="S19" s="55">
        <f t="shared" ref="S19" si="60">SUM(K19+L19+M19+N19)</f>
        <v>30462.720680779999</v>
      </c>
      <c r="T19" s="56">
        <f>S19*16%</f>
        <v>4874.0353089248001</v>
      </c>
    </row>
    <row r="20" spans="1:28" s="5" customFormat="1" ht="18" customHeight="1" x14ac:dyDescent="0.3">
      <c r="A20" s="60">
        <v>43112</v>
      </c>
      <c r="B20" s="54">
        <v>1999.47</v>
      </c>
      <c r="C20" s="54">
        <v>248.9</v>
      </c>
      <c r="D20" s="54"/>
      <c r="E20" s="61">
        <v>16.45</v>
      </c>
      <c r="F20" s="64">
        <v>18.28</v>
      </c>
      <c r="G20" s="54">
        <v>17.350000000000001</v>
      </c>
      <c r="H20" s="62">
        <v>13.831723999999999</v>
      </c>
      <c r="I20" s="62">
        <v>15.332414</v>
      </c>
      <c r="J20" s="59">
        <v>14.666983</v>
      </c>
      <c r="K20" s="55">
        <f t="shared" si="52"/>
        <v>27656.11718628</v>
      </c>
      <c r="L20" s="55">
        <f t="shared" si="52"/>
        <v>3816.2378446000002</v>
      </c>
      <c r="M20" s="55">
        <f t="shared" ref="M20" si="61">D20*J20</f>
        <v>0</v>
      </c>
      <c r="N20" s="55">
        <v>170.69</v>
      </c>
      <c r="O20" s="55">
        <f t="shared" si="8"/>
        <v>810.18524400000001</v>
      </c>
      <c r="P20" s="55">
        <f t="shared" si="9"/>
        <v>123.05616000000001</v>
      </c>
      <c r="Q20" s="55">
        <f t="shared" si="10"/>
        <v>0</v>
      </c>
      <c r="R20" s="55">
        <f t="shared" ref="R20" si="62">O20+P20+Q20</f>
        <v>933.24140399999999</v>
      </c>
      <c r="S20" s="55">
        <f t="shared" ref="S20" si="63">SUM(K20+L20+M20+N20)</f>
        <v>31643.045030879999</v>
      </c>
      <c r="T20" s="56">
        <f>S20*16%</f>
        <v>5062.8872049408001</v>
      </c>
    </row>
    <row r="21" spans="1:28" s="5" customFormat="1" ht="18" customHeight="1" x14ac:dyDescent="0.3">
      <c r="A21" s="34">
        <v>43113</v>
      </c>
      <c r="B21" s="2">
        <v>3909.97</v>
      </c>
      <c r="C21" s="2">
        <v>321.7</v>
      </c>
      <c r="D21" s="2"/>
      <c r="E21" s="61">
        <v>16.45</v>
      </c>
      <c r="F21" s="64">
        <v>18.28</v>
      </c>
      <c r="G21" s="54">
        <v>17.350000000000001</v>
      </c>
      <c r="H21" s="62">
        <v>13.831723999999999</v>
      </c>
      <c r="I21" s="62">
        <v>15.332414</v>
      </c>
      <c r="J21" s="59">
        <v>14.666983</v>
      </c>
      <c r="K21" s="17">
        <f t="shared" si="52"/>
        <v>54081.625888279996</v>
      </c>
      <c r="L21" s="17">
        <f t="shared" si="52"/>
        <v>4932.4375837999996</v>
      </c>
      <c r="M21" s="17">
        <f t="shared" ref="M21" si="64">D21*J21</f>
        <v>0</v>
      </c>
      <c r="N21" s="20">
        <f>34.48+56.03</f>
        <v>90.509999999999991</v>
      </c>
      <c r="O21" s="17">
        <f t="shared" si="8"/>
        <v>1584.3198439999999</v>
      </c>
      <c r="P21" s="17">
        <f t="shared" si="9"/>
        <v>159.04847999999998</v>
      </c>
      <c r="Q21" s="17">
        <f t="shared" si="10"/>
        <v>0</v>
      </c>
      <c r="R21" s="17">
        <f t="shared" ref="R21" si="65">O21+P21+Q21</f>
        <v>1743.3683239999998</v>
      </c>
      <c r="S21" s="20">
        <f t="shared" ref="S21" si="66">SUM(K21+L21+M21+N21)</f>
        <v>59104.573472079996</v>
      </c>
      <c r="T21" s="21">
        <f>S21*16%</f>
        <v>9456.7317555327991</v>
      </c>
    </row>
    <row r="22" spans="1:28" s="5" customFormat="1" ht="18" customHeight="1" x14ac:dyDescent="0.3">
      <c r="A22" s="34">
        <v>43114</v>
      </c>
      <c r="B22" s="2">
        <v>2681.17</v>
      </c>
      <c r="C22" s="2">
        <v>451.06</v>
      </c>
      <c r="D22" s="2"/>
      <c r="E22" s="61">
        <v>16.45</v>
      </c>
      <c r="F22" s="64">
        <v>18.28</v>
      </c>
      <c r="G22" s="54">
        <v>17.350000000000001</v>
      </c>
      <c r="H22" s="62">
        <v>13.831723999999999</v>
      </c>
      <c r="I22" s="62">
        <v>15.332414</v>
      </c>
      <c r="J22" s="59">
        <v>14.666983</v>
      </c>
      <c r="K22" s="17">
        <f t="shared" si="42"/>
        <v>37085.203437080003</v>
      </c>
      <c r="L22" s="17">
        <f t="shared" si="27"/>
        <v>6915.8386588399999</v>
      </c>
      <c r="M22" s="17">
        <f t="shared" si="28"/>
        <v>0</v>
      </c>
      <c r="N22" s="20">
        <v>155.16999999999999</v>
      </c>
      <c r="O22" s="17">
        <f t="shared" si="8"/>
        <v>1086.4100840000001</v>
      </c>
      <c r="P22" s="17">
        <f t="shared" si="9"/>
        <v>223.004064</v>
      </c>
      <c r="Q22" s="17">
        <f t="shared" si="10"/>
        <v>0</v>
      </c>
      <c r="R22" s="17">
        <f t="shared" si="29"/>
        <v>1309.4141480000001</v>
      </c>
      <c r="S22" s="20">
        <f t="shared" si="30"/>
        <v>44156.212095920004</v>
      </c>
      <c r="T22" s="21">
        <f t="shared" si="31"/>
        <v>7064.9939353472009</v>
      </c>
      <c r="V22" s="8"/>
      <c r="W22" s="8"/>
      <c r="X22" s="4"/>
      <c r="Y22" s="8"/>
      <c r="Z22" s="8"/>
      <c r="AA22" s="8"/>
      <c r="AB22" s="8"/>
    </row>
    <row r="23" spans="1:28" s="5" customFormat="1" ht="18" customHeight="1" x14ac:dyDescent="0.3">
      <c r="A23" s="67">
        <v>43115</v>
      </c>
      <c r="B23" s="68">
        <f>1544.31+283.89+1595.69</f>
        <v>3423.89</v>
      </c>
      <c r="C23" s="68">
        <f>174.41+71.38+206.26</f>
        <v>452.04999999999995</v>
      </c>
      <c r="D23" s="68">
        <v>0</v>
      </c>
      <c r="E23" s="61">
        <v>16.45</v>
      </c>
      <c r="F23" s="64">
        <v>18.28</v>
      </c>
      <c r="G23" s="65">
        <v>17.350000000000001</v>
      </c>
      <c r="H23" s="62">
        <v>13.831723999999999</v>
      </c>
      <c r="I23" s="62">
        <v>15.332414</v>
      </c>
      <c r="J23" s="66">
        <v>14.666983</v>
      </c>
      <c r="K23" s="17">
        <f t="shared" ref="K23" si="67">B23*H23</f>
        <v>47358.301486359996</v>
      </c>
      <c r="L23" s="17">
        <f t="shared" ref="L23" si="68">C23*I23</f>
        <v>6931.0177486999992</v>
      </c>
      <c r="M23" s="17">
        <f t="shared" ref="M23" si="69">D23*J23</f>
        <v>0</v>
      </c>
      <c r="N23" s="20">
        <v>220.68</v>
      </c>
      <c r="O23" s="17">
        <f t="shared" ref="O23" si="70">B23*0.4052</f>
        <v>1387.360228</v>
      </c>
      <c r="P23" s="17">
        <f t="shared" ref="P23" si="71">C23*0.4944</f>
        <v>223.49351999999999</v>
      </c>
      <c r="Q23" s="17">
        <f t="shared" ref="Q23" si="72">D23*0.3363</f>
        <v>0</v>
      </c>
      <c r="R23" s="17">
        <f t="shared" ref="R23" si="73">O23+P23+Q23</f>
        <v>1610.853748</v>
      </c>
      <c r="S23" s="20">
        <f t="shared" ref="S23" si="74">SUM(K23+L23+M23+N23)</f>
        <v>54509.999235059993</v>
      </c>
      <c r="T23" s="21">
        <f t="shared" ref="T23" si="75">S23*16%</f>
        <v>8721.5998776095985</v>
      </c>
      <c r="V23" s="8"/>
      <c r="W23" s="8"/>
      <c r="X23" s="4"/>
      <c r="Y23" s="8"/>
      <c r="Z23" s="8"/>
      <c r="AA23" s="8"/>
      <c r="AB23" s="8"/>
    </row>
    <row r="24" spans="1:28" s="5" customFormat="1" ht="18" customHeight="1" x14ac:dyDescent="0.3">
      <c r="A24" s="67">
        <v>43116</v>
      </c>
      <c r="B24" s="68">
        <f>1587.7+1351.82+334.16</f>
        <v>3273.68</v>
      </c>
      <c r="C24" s="68">
        <f>183.85+237.37+56.52</f>
        <v>477.74</v>
      </c>
      <c r="D24" s="68">
        <v>0</v>
      </c>
      <c r="E24" s="61">
        <v>16.45</v>
      </c>
      <c r="F24" s="64">
        <v>18.28</v>
      </c>
      <c r="G24" s="65">
        <v>17.350000000000001</v>
      </c>
      <c r="H24" s="62">
        <v>13.831723999999999</v>
      </c>
      <c r="I24" s="62">
        <v>15.332414</v>
      </c>
      <c r="J24" s="66">
        <v>14.666983</v>
      </c>
      <c r="K24" s="17">
        <f t="shared" ref="K24" si="76">B24*H24</f>
        <v>45280.638224319999</v>
      </c>
      <c r="L24" s="17">
        <f t="shared" ref="L24" si="77">C24*I24</f>
        <v>7324.9074643599997</v>
      </c>
      <c r="M24" s="17">
        <f t="shared" ref="M24" si="78">D24*J24</f>
        <v>0</v>
      </c>
      <c r="N24" s="20">
        <f>155.17+51.72</f>
        <v>206.89</v>
      </c>
      <c r="O24" s="17">
        <f t="shared" ref="O24" si="79">B24*0.4052</f>
        <v>1326.495136</v>
      </c>
      <c r="P24" s="17">
        <f t="shared" ref="P24" si="80">C24*0.4944</f>
        <v>236.19465600000001</v>
      </c>
      <c r="Q24" s="17">
        <f t="shared" ref="Q24" si="81">D24*0.3363</f>
        <v>0</v>
      </c>
      <c r="R24" s="17">
        <f t="shared" ref="R24" si="82">O24+P24+Q24</f>
        <v>1562.6897920000001</v>
      </c>
      <c r="S24" s="20">
        <f t="shared" ref="S24" si="83">SUM(K24+L24+M24+N24)</f>
        <v>52812.435688679994</v>
      </c>
      <c r="T24" s="21">
        <f t="shared" ref="T24" si="84">S24*16%</f>
        <v>8449.9897101888</v>
      </c>
      <c r="V24" s="8"/>
      <c r="W24" s="8"/>
      <c r="X24" s="4"/>
      <c r="Y24" s="8"/>
      <c r="Z24" s="8"/>
      <c r="AA24" s="8"/>
      <c r="AB24" s="8"/>
    </row>
    <row r="25" spans="1:28" s="5" customFormat="1" ht="18" customHeight="1" x14ac:dyDescent="0.3">
      <c r="A25" s="67">
        <v>43117</v>
      </c>
      <c r="B25" s="68">
        <f>153.18+1479.35</f>
        <v>1632.53</v>
      </c>
      <c r="C25" s="68">
        <f>79.01+159.65</f>
        <v>238.66000000000003</v>
      </c>
      <c r="D25" s="88">
        <v>0</v>
      </c>
      <c r="E25" s="78">
        <v>16.45</v>
      </c>
      <c r="F25" s="79">
        <v>18.28</v>
      </c>
      <c r="G25" s="68">
        <v>17.350000000000001</v>
      </c>
      <c r="H25" s="80">
        <v>13.831723999999999</v>
      </c>
      <c r="I25" s="80">
        <v>15.332414</v>
      </c>
      <c r="J25" s="81">
        <v>14.666983</v>
      </c>
      <c r="K25" s="17">
        <f t="shared" ref="K25" si="85">B25*H25</f>
        <v>22580.704381719999</v>
      </c>
      <c r="L25" s="17">
        <f t="shared" ref="L25" si="86">C25*I25</f>
        <v>3659.2339252400002</v>
      </c>
      <c r="M25" s="17">
        <f t="shared" ref="M25" si="87">D25*J25</f>
        <v>0</v>
      </c>
      <c r="N25" s="20">
        <v>32.76</v>
      </c>
      <c r="O25" s="17">
        <f t="shared" ref="O25" si="88">B25*0.4052</f>
        <v>661.50115600000004</v>
      </c>
      <c r="P25" s="17">
        <f t="shared" ref="P25" si="89">C25*0.4944</f>
        <v>117.99350400000002</v>
      </c>
      <c r="Q25" s="17">
        <f t="shared" ref="Q25" si="90">D25*0.3363</f>
        <v>0</v>
      </c>
      <c r="R25" s="17">
        <f t="shared" ref="R25" si="91">O25+P25+Q25</f>
        <v>779.49466000000007</v>
      </c>
      <c r="S25" s="20">
        <f t="shared" ref="S25" si="92">SUM(K25+L25+M25+N25)</f>
        <v>26272.698306959999</v>
      </c>
      <c r="T25" s="21">
        <f t="shared" ref="T25" si="93">S25*16%</f>
        <v>4203.6317291136002</v>
      </c>
      <c r="V25" s="8"/>
    </row>
    <row r="26" spans="1:28" s="5" customFormat="1" ht="18" customHeight="1" x14ac:dyDescent="0.3">
      <c r="A26" s="67">
        <v>43117</v>
      </c>
      <c r="B26" s="68">
        <v>2000.94</v>
      </c>
      <c r="C26" s="68">
        <v>203.03</v>
      </c>
      <c r="D26" s="88">
        <v>0</v>
      </c>
      <c r="E26" s="83">
        <v>16.55</v>
      </c>
      <c r="F26" s="84">
        <v>18.5</v>
      </c>
      <c r="G26" s="84">
        <v>17.350000000000001</v>
      </c>
      <c r="H26" s="87">
        <v>13.917930999999999</v>
      </c>
      <c r="I26" s="85">
        <v>15.522069</v>
      </c>
      <c r="J26" s="86">
        <v>14.666983</v>
      </c>
      <c r="K26" s="17">
        <f t="shared" ref="K26" si="94">B26*H26</f>
        <v>27848.944855139998</v>
      </c>
      <c r="L26" s="17">
        <f t="shared" ref="L26" si="95">C26*I26</f>
        <v>3151.4456690699999</v>
      </c>
      <c r="M26" s="17">
        <f t="shared" ref="M26" si="96">D26*J26</f>
        <v>0</v>
      </c>
      <c r="N26" s="20">
        <v>399.14</v>
      </c>
      <c r="O26" s="17">
        <f t="shared" ref="O26" si="97">B26*0.4052</f>
        <v>810.780888</v>
      </c>
      <c r="P26" s="17">
        <f t="shared" ref="P26" si="98">C26*0.4944</f>
        <v>100.378032</v>
      </c>
      <c r="Q26" s="17">
        <f t="shared" ref="Q26" si="99">D26*0.3363</f>
        <v>0</v>
      </c>
      <c r="R26" s="17">
        <f t="shared" ref="R26" si="100">O26+P26+Q26</f>
        <v>911.15891999999997</v>
      </c>
      <c r="S26" s="20">
        <f t="shared" ref="S26" si="101">SUM(K26+L26+M26+N26)</f>
        <v>31399.530524209997</v>
      </c>
      <c r="T26" s="21">
        <f t="shared" ref="T26" si="102">S26*16%</f>
        <v>5023.9248838735994</v>
      </c>
      <c r="V26" s="8"/>
    </row>
    <row r="27" spans="1:28" s="5" customFormat="1" ht="18" customHeight="1" x14ac:dyDescent="0.3">
      <c r="A27" s="34">
        <v>43118</v>
      </c>
      <c r="B27" s="68">
        <f>1603.94+1951.17+237.75</f>
        <v>3792.86</v>
      </c>
      <c r="C27" s="68">
        <f>183.39+222.12+31.75</f>
        <v>437.26</v>
      </c>
      <c r="D27" s="88">
        <f>0+0+0</f>
        <v>0</v>
      </c>
      <c r="E27" s="82">
        <v>16.55</v>
      </c>
      <c r="F27" s="68">
        <v>18.5</v>
      </c>
      <c r="G27" s="68">
        <v>17.350000000000001</v>
      </c>
      <c r="H27" s="89">
        <v>13.917930999999999</v>
      </c>
      <c r="I27" s="80">
        <v>15.522069</v>
      </c>
      <c r="J27" s="81">
        <v>14.666983</v>
      </c>
      <c r="K27" s="17">
        <f t="shared" ref="K27" si="103">B27*H27</f>
        <v>52788.763772660001</v>
      </c>
      <c r="L27" s="17">
        <f t="shared" ref="L27" si="104">C27*I27</f>
        <v>6787.1798909399995</v>
      </c>
      <c r="M27" s="17">
        <f t="shared" ref="M27" si="105">D27*J27</f>
        <v>0</v>
      </c>
      <c r="N27" s="20">
        <f>146.55+56.03</f>
        <v>202.58</v>
      </c>
      <c r="O27" s="17">
        <f t="shared" si="8"/>
        <v>1536.8668720000001</v>
      </c>
      <c r="P27" s="17">
        <f t="shared" si="9"/>
        <v>216.181344</v>
      </c>
      <c r="Q27" s="17">
        <f t="shared" si="10"/>
        <v>0</v>
      </c>
      <c r="R27" s="17">
        <f t="shared" ref="R27" si="106">O27+P27+Q27</f>
        <v>1753.0482160000001</v>
      </c>
      <c r="S27" s="20">
        <f>SUM(K27+L27+M27+N27)</f>
        <v>59778.523663600005</v>
      </c>
      <c r="T27" s="21">
        <f t="shared" ref="T27" si="107">S27*16%</f>
        <v>9564.5637861760006</v>
      </c>
      <c r="V27" s="8"/>
    </row>
    <row r="28" spans="1:28" s="5" customFormat="1" ht="18" customHeight="1" x14ac:dyDescent="0.3">
      <c r="A28" s="34">
        <v>43119</v>
      </c>
      <c r="B28" s="2"/>
      <c r="C28" s="2"/>
      <c r="D28" s="3"/>
      <c r="E28" s="44"/>
      <c r="F28" s="45"/>
      <c r="G28" s="2"/>
      <c r="H28" s="46"/>
      <c r="I28" s="46"/>
      <c r="J28" s="16"/>
      <c r="K28" s="17">
        <f>B28*H28</f>
        <v>0</v>
      </c>
      <c r="L28" s="17">
        <f t="shared" ref="L28" si="108">C28*I28</f>
        <v>0</v>
      </c>
      <c r="M28" s="17">
        <f t="shared" ref="M28" si="109">D28*J28</f>
        <v>0</v>
      </c>
      <c r="N28" s="20"/>
      <c r="O28" s="17">
        <f t="shared" si="8"/>
        <v>0</v>
      </c>
      <c r="P28" s="17">
        <f t="shared" si="9"/>
        <v>0</v>
      </c>
      <c r="Q28" s="17">
        <f t="shared" si="10"/>
        <v>0</v>
      </c>
      <c r="R28" s="17">
        <f t="shared" ref="R28" si="110">O28+P28+Q28</f>
        <v>0</v>
      </c>
      <c r="S28" s="20">
        <f>SUM(K28+L28+M28+N28)</f>
        <v>0</v>
      </c>
      <c r="T28" s="21">
        <f t="shared" ref="T28" si="111">S28*16%</f>
        <v>0</v>
      </c>
      <c r="V28" s="8"/>
    </row>
    <row r="29" spans="1:28" s="5" customFormat="1" ht="18" customHeight="1" x14ac:dyDescent="0.25">
      <c r="A29" s="34">
        <v>43120</v>
      </c>
      <c r="B29" s="2"/>
      <c r="C29" s="2"/>
      <c r="D29" s="3"/>
      <c r="E29" s="15"/>
      <c r="F29" s="2"/>
      <c r="G29" s="2"/>
      <c r="H29" s="16"/>
      <c r="I29" s="16"/>
      <c r="J29" s="16"/>
      <c r="K29" s="17">
        <f>B29*H29</f>
        <v>0</v>
      </c>
      <c r="L29" s="17">
        <f t="shared" ref="L29:L30" si="112">C29*I29</f>
        <v>0</v>
      </c>
      <c r="M29" s="17">
        <f t="shared" ref="M29:M30" si="113">D29*J29</f>
        <v>0</v>
      </c>
      <c r="N29" s="20"/>
      <c r="O29" s="17">
        <f t="shared" si="8"/>
        <v>0</v>
      </c>
      <c r="P29" s="17">
        <f t="shared" si="9"/>
        <v>0</v>
      </c>
      <c r="Q29" s="17">
        <f t="shared" si="10"/>
        <v>0</v>
      </c>
      <c r="R29" s="17">
        <f t="shared" ref="R29:R30" si="114">O29+P29+Q29</f>
        <v>0</v>
      </c>
      <c r="S29" s="20">
        <f>SUM(K29+L29+M29+N29)</f>
        <v>0</v>
      </c>
      <c r="T29" s="21">
        <f t="shared" ref="T29:T30" si="115">S29*16%</f>
        <v>0</v>
      </c>
      <c r="V29" s="8"/>
    </row>
    <row r="30" spans="1:28" s="5" customFormat="1" ht="18" customHeight="1" x14ac:dyDescent="0.25">
      <c r="A30" s="34">
        <v>43121</v>
      </c>
      <c r="B30" s="2"/>
      <c r="C30" s="2"/>
      <c r="D30" s="3"/>
      <c r="E30" s="15"/>
      <c r="F30" s="2"/>
      <c r="G30" s="2"/>
      <c r="H30" s="16"/>
      <c r="I30" s="16"/>
      <c r="J30" s="16"/>
      <c r="K30" s="17">
        <f>B30*H30</f>
        <v>0</v>
      </c>
      <c r="L30" s="17">
        <f t="shared" si="112"/>
        <v>0</v>
      </c>
      <c r="M30" s="17">
        <f t="shared" si="113"/>
        <v>0</v>
      </c>
      <c r="N30" s="20"/>
      <c r="O30" s="17">
        <f t="shared" si="8"/>
        <v>0</v>
      </c>
      <c r="P30" s="17">
        <f t="shared" si="9"/>
        <v>0</v>
      </c>
      <c r="Q30" s="17">
        <f t="shared" si="10"/>
        <v>0</v>
      </c>
      <c r="R30" s="17">
        <f t="shared" si="114"/>
        <v>0</v>
      </c>
      <c r="S30" s="20">
        <f>SUM(K30+L30+M30+N30)</f>
        <v>0</v>
      </c>
      <c r="T30" s="21">
        <f t="shared" si="115"/>
        <v>0</v>
      </c>
      <c r="V30" s="8"/>
    </row>
    <row r="31" spans="1:28" s="5" customFormat="1" ht="18" customHeight="1" x14ac:dyDescent="0.25">
      <c r="A31" s="34">
        <v>43122</v>
      </c>
      <c r="B31" s="2"/>
      <c r="C31" s="3"/>
      <c r="D31" s="2"/>
      <c r="E31" s="15"/>
      <c r="F31" s="2"/>
      <c r="G31" s="2"/>
      <c r="H31" s="16"/>
      <c r="I31" s="16"/>
      <c r="J31" s="16"/>
      <c r="K31" s="17">
        <f t="shared" si="42"/>
        <v>0</v>
      </c>
      <c r="L31" s="17">
        <f t="shared" si="27"/>
        <v>0</v>
      </c>
      <c r="M31" s="17">
        <f t="shared" si="28"/>
        <v>0</v>
      </c>
      <c r="N31" s="20"/>
      <c r="O31" s="17">
        <f t="shared" si="8"/>
        <v>0</v>
      </c>
      <c r="P31" s="17">
        <f t="shared" si="9"/>
        <v>0</v>
      </c>
      <c r="Q31" s="17">
        <f t="shared" si="10"/>
        <v>0</v>
      </c>
      <c r="R31" s="17">
        <f t="shared" si="29"/>
        <v>0</v>
      </c>
      <c r="S31" s="20">
        <f t="shared" si="30"/>
        <v>0</v>
      </c>
      <c r="T31" s="21">
        <f t="shared" si="31"/>
        <v>0</v>
      </c>
      <c r="V31" s="8"/>
    </row>
    <row r="32" spans="1:28" s="5" customFormat="1" ht="18" customHeight="1" x14ac:dyDescent="0.25">
      <c r="A32" s="34">
        <v>43123</v>
      </c>
      <c r="B32" s="2"/>
      <c r="C32" s="3"/>
      <c r="D32" s="2"/>
      <c r="E32" s="15"/>
      <c r="F32" s="2"/>
      <c r="G32" s="2"/>
      <c r="H32" s="16"/>
      <c r="I32" s="16"/>
      <c r="J32" s="16"/>
      <c r="K32" s="17">
        <f t="shared" ref="K32" si="116">B32*H32</f>
        <v>0</v>
      </c>
      <c r="L32" s="17">
        <f t="shared" ref="L32" si="117">C32*I32</f>
        <v>0</v>
      </c>
      <c r="M32" s="17">
        <f t="shared" ref="M32" si="118">D32*J32</f>
        <v>0</v>
      </c>
      <c r="N32" s="20"/>
      <c r="O32" s="17">
        <f t="shared" si="8"/>
        <v>0</v>
      </c>
      <c r="P32" s="17">
        <f t="shared" si="9"/>
        <v>0</v>
      </c>
      <c r="Q32" s="17">
        <f t="shared" si="10"/>
        <v>0</v>
      </c>
      <c r="R32" s="17">
        <f t="shared" ref="R32" si="119">O32+P32+Q32</f>
        <v>0</v>
      </c>
      <c r="S32" s="20">
        <f t="shared" ref="S32" si="120">SUM(K32+L32+M32+N32)</f>
        <v>0</v>
      </c>
      <c r="T32" s="21">
        <f t="shared" ref="T32" si="121">S32*16%</f>
        <v>0</v>
      </c>
      <c r="V32" s="8"/>
    </row>
    <row r="33" spans="1:215" s="5" customFormat="1" ht="18" customHeight="1" x14ac:dyDescent="0.3">
      <c r="A33" s="34">
        <v>43124</v>
      </c>
      <c r="B33" s="2"/>
      <c r="C33" s="3"/>
      <c r="D33" s="2"/>
      <c r="E33" s="44"/>
      <c r="F33" s="45"/>
      <c r="G33" s="2"/>
      <c r="H33" s="46"/>
      <c r="I33" s="46"/>
      <c r="J33" s="16"/>
      <c r="K33" s="17">
        <f t="shared" ref="K33" si="122">B33*H33</f>
        <v>0</v>
      </c>
      <c r="L33" s="17">
        <f t="shared" ref="L33" si="123">C33*I33</f>
        <v>0</v>
      </c>
      <c r="M33" s="17">
        <f t="shared" ref="M33" si="124">D33*J33</f>
        <v>0</v>
      </c>
      <c r="N33" s="20"/>
      <c r="O33" s="17">
        <f t="shared" si="8"/>
        <v>0</v>
      </c>
      <c r="P33" s="17">
        <f t="shared" si="9"/>
        <v>0</v>
      </c>
      <c r="Q33" s="17">
        <f t="shared" si="10"/>
        <v>0</v>
      </c>
      <c r="R33" s="17">
        <f t="shared" ref="R33" si="125">O33+P33+Q33</f>
        <v>0</v>
      </c>
      <c r="S33" s="20">
        <f t="shared" ref="S33" si="126">SUM(K33+L33+M33+N33)</f>
        <v>0</v>
      </c>
      <c r="T33" s="21">
        <f t="shared" ref="T33" si="127">S33*16%</f>
        <v>0</v>
      </c>
      <c r="V33" s="8"/>
    </row>
    <row r="34" spans="1:215" s="5" customFormat="1" ht="18" customHeight="1" x14ac:dyDescent="0.25">
      <c r="A34" s="34">
        <v>43125</v>
      </c>
      <c r="B34" s="3"/>
      <c r="C34" s="3"/>
      <c r="D34" s="2"/>
      <c r="E34" s="15"/>
      <c r="F34" s="2"/>
      <c r="G34" s="2"/>
      <c r="H34" s="16"/>
      <c r="I34" s="16"/>
      <c r="J34" s="16"/>
      <c r="K34" s="17">
        <f t="shared" si="42"/>
        <v>0</v>
      </c>
      <c r="L34" s="17">
        <f t="shared" si="27"/>
        <v>0</v>
      </c>
      <c r="M34" s="17">
        <f t="shared" ref="M34" si="128">D34*J34</f>
        <v>0</v>
      </c>
      <c r="N34" s="20"/>
      <c r="O34" s="17">
        <f t="shared" si="8"/>
        <v>0</v>
      </c>
      <c r="P34" s="17">
        <f t="shared" si="9"/>
        <v>0</v>
      </c>
      <c r="Q34" s="17">
        <f t="shared" si="10"/>
        <v>0</v>
      </c>
      <c r="R34" s="17">
        <f t="shared" si="29"/>
        <v>0</v>
      </c>
      <c r="S34" s="20">
        <f t="shared" si="30"/>
        <v>0</v>
      </c>
      <c r="T34" s="21">
        <f t="shared" si="31"/>
        <v>0</v>
      </c>
    </row>
    <row r="35" spans="1:215" s="5" customFormat="1" ht="18" customHeight="1" x14ac:dyDescent="0.25">
      <c r="A35" s="34">
        <v>43126</v>
      </c>
      <c r="B35" s="3"/>
      <c r="C35" s="3"/>
      <c r="D35" s="2"/>
      <c r="E35" s="15"/>
      <c r="F35" s="2"/>
      <c r="G35" s="2"/>
      <c r="H35" s="16"/>
      <c r="I35" s="16"/>
      <c r="J35" s="16"/>
      <c r="K35" s="17">
        <f t="shared" ref="K35:M37" si="129">B35*H35</f>
        <v>0</v>
      </c>
      <c r="L35" s="17">
        <f t="shared" si="129"/>
        <v>0</v>
      </c>
      <c r="M35" s="17">
        <f t="shared" si="129"/>
        <v>0</v>
      </c>
      <c r="N35" s="20"/>
      <c r="O35" s="17">
        <f t="shared" si="8"/>
        <v>0</v>
      </c>
      <c r="P35" s="17">
        <f t="shared" si="9"/>
        <v>0</v>
      </c>
      <c r="Q35" s="17">
        <f t="shared" si="10"/>
        <v>0</v>
      </c>
      <c r="R35" s="17">
        <f t="shared" si="29"/>
        <v>0</v>
      </c>
      <c r="S35" s="20">
        <f t="shared" si="30"/>
        <v>0</v>
      </c>
      <c r="T35" s="21">
        <f t="shared" si="31"/>
        <v>0</v>
      </c>
    </row>
    <row r="36" spans="1:215" s="5" customFormat="1" ht="18" customHeight="1" x14ac:dyDescent="0.25">
      <c r="A36" s="34">
        <v>43127</v>
      </c>
      <c r="B36" s="3"/>
      <c r="C36" s="3"/>
      <c r="D36" s="2"/>
      <c r="E36" s="15"/>
      <c r="F36" s="2"/>
      <c r="G36" s="2"/>
      <c r="H36" s="16"/>
      <c r="I36" s="16"/>
      <c r="J36" s="16"/>
      <c r="K36" s="17">
        <f t="shared" ref="K36" si="130">B36*H36</f>
        <v>0</v>
      </c>
      <c r="L36" s="17">
        <f t="shared" ref="L36" si="131">C36*I36</f>
        <v>0</v>
      </c>
      <c r="M36" s="17">
        <f t="shared" ref="M36" si="132">D36*J36</f>
        <v>0</v>
      </c>
      <c r="N36" s="20"/>
      <c r="O36" s="17">
        <f t="shared" si="8"/>
        <v>0</v>
      </c>
      <c r="P36" s="17">
        <f t="shared" si="9"/>
        <v>0</v>
      </c>
      <c r="Q36" s="17">
        <f t="shared" si="10"/>
        <v>0</v>
      </c>
      <c r="R36" s="17">
        <f t="shared" ref="R36" si="133">O36+P36+Q36</f>
        <v>0</v>
      </c>
      <c r="S36" s="20">
        <f t="shared" ref="S36" si="134">SUM(K36+L36+M36+N36)</f>
        <v>0</v>
      </c>
      <c r="T36" s="21">
        <f t="shared" ref="T36" si="135">S36*16%</f>
        <v>0</v>
      </c>
    </row>
    <row r="37" spans="1:215" s="5" customFormat="1" ht="18" customHeight="1" x14ac:dyDescent="0.25">
      <c r="A37" s="34">
        <v>43128</v>
      </c>
      <c r="B37" s="3"/>
      <c r="C37" s="3"/>
      <c r="D37" s="2"/>
      <c r="E37" s="15"/>
      <c r="F37" s="2"/>
      <c r="G37" s="2"/>
      <c r="H37" s="16"/>
      <c r="I37" s="16"/>
      <c r="J37" s="16"/>
      <c r="K37" s="17">
        <f t="shared" si="129"/>
        <v>0</v>
      </c>
      <c r="L37" s="17">
        <f t="shared" si="129"/>
        <v>0</v>
      </c>
      <c r="M37" s="17">
        <f t="shared" si="129"/>
        <v>0</v>
      </c>
      <c r="N37" s="20"/>
      <c r="O37" s="17">
        <f t="shared" si="8"/>
        <v>0</v>
      </c>
      <c r="P37" s="17">
        <f t="shared" si="9"/>
        <v>0</v>
      </c>
      <c r="Q37" s="17">
        <f t="shared" si="10"/>
        <v>0</v>
      </c>
      <c r="R37" s="17">
        <f t="shared" ref="R37" si="136">O37+P37+Q37</f>
        <v>0</v>
      </c>
      <c r="S37" s="20">
        <f t="shared" ref="S37" si="137">SUM(K37+L37+M37+N37)</f>
        <v>0</v>
      </c>
      <c r="T37" s="21">
        <f t="shared" ref="T37" si="138">S37*16%</f>
        <v>0</v>
      </c>
    </row>
    <row r="38" spans="1:215" s="5" customFormat="1" ht="18" customHeight="1" x14ac:dyDescent="0.25">
      <c r="A38" s="34">
        <v>43129</v>
      </c>
      <c r="B38" s="3"/>
      <c r="C38" s="3"/>
      <c r="D38" s="2"/>
      <c r="E38" s="15"/>
      <c r="F38" s="2"/>
      <c r="G38" s="2"/>
      <c r="H38" s="16"/>
      <c r="I38" s="16"/>
      <c r="J38" s="16"/>
      <c r="K38" s="17">
        <f t="shared" ref="K38:M39" si="139">B38*H38</f>
        <v>0</v>
      </c>
      <c r="L38" s="17">
        <f t="shared" si="139"/>
        <v>0</v>
      </c>
      <c r="M38" s="17">
        <f t="shared" si="139"/>
        <v>0</v>
      </c>
      <c r="N38" s="20"/>
      <c r="O38" s="17">
        <f t="shared" si="8"/>
        <v>0</v>
      </c>
      <c r="P38" s="17">
        <f t="shared" si="9"/>
        <v>0</v>
      </c>
      <c r="Q38" s="17">
        <f t="shared" si="10"/>
        <v>0</v>
      </c>
      <c r="R38" s="17">
        <f t="shared" ref="R38" si="140">O38+P38+Q38</f>
        <v>0</v>
      </c>
      <c r="S38" s="20">
        <f t="shared" ref="S38" si="141">SUM(K38+L38+M38+N38)</f>
        <v>0</v>
      </c>
      <c r="T38" s="21">
        <f t="shared" ref="T38" si="142">S38*16%</f>
        <v>0</v>
      </c>
    </row>
    <row r="39" spans="1:215" s="5" customFormat="1" ht="18" customHeight="1" x14ac:dyDescent="0.25">
      <c r="A39" s="34">
        <v>43130</v>
      </c>
      <c r="B39" s="3"/>
      <c r="C39" s="3"/>
      <c r="D39" s="2"/>
      <c r="E39" s="15"/>
      <c r="F39" s="2"/>
      <c r="G39" s="2"/>
      <c r="H39" s="16"/>
      <c r="I39" s="16"/>
      <c r="J39" s="16"/>
      <c r="K39" s="17">
        <f t="shared" si="139"/>
        <v>0</v>
      </c>
      <c r="L39" s="17">
        <f t="shared" si="139"/>
        <v>0</v>
      </c>
      <c r="M39" s="17">
        <f t="shared" si="139"/>
        <v>0</v>
      </c>
      <c r="N39" s="20"/>
      <c r="O39" s="17">
        <f t="shared" si="8"/>
        <v>0</v>
      </c>
      <c r="P39" s="17">
        <f t="shared" si="9"/>
        <v>0</v>
      </c>
      <c r="Q39" s="17">
        <f t="shared" si="10"/>
        <v>0</v>
      </c>
      <c r="R39" s="17">
        <f t="shared" ref="R39" si="143">O39+P39+Q39</f>
        <v>0</v>
      </c>
      <c r="S39" s="20">
        <f t="shared" ref="S39" si="144">SUM(K39+L39+M39+N39)</f>
        <v>0</v>
      </c>
      <c r="T39" s="21">
        <f t="shared" ref="T39" si="145">S39*16%</f>
        <v>0</v>
      </c>
    </row>
    <row r="40" spans="1:215" s="5" customFormat="1" ht="18" customHeight="1" x14ac:dyDescent="0.25">
      <c r="A40" s="34">
        <v>43131</v>
      </c>
      <c r="B40" s="3"/>
      <c r="C40" s="3"/>
      <c r="D40" s="2"/>
      <c r="E40" s="15"/>
      <c r="F40" s="2"/>
      <c r="G40" s="2"/>
      <c r="H40" s="16"/>
      <c r="I40" s="16"/>
      <c r="J40" s="16"/>
      <c r="K40" s="17">
        <f t="shared" ref="K40:M41" si="146">B40*H40</f>
        <v>0</v>
      </c>
      <c r="L40" s="17">
        <f t="shared" si="146"/>
        <v>0</v>
      </c>
      <c r="M40" s="17">
        <f t="shared" si="146"/>
        <v>0</v>
      </c>
      <c r="N40" s="20"/>
      <c r="O40" s="17">
        <f t="shared" si="8"/>
        <v>0</v>
      </c>
      <c r="P40" s="17">
        <f t="shared" si="9"/>
        <v>0</v>
      </c>
      <c r="Q40" s="17">
        <f t="shared" si="10"/>
        <v>0</v>
      </c>
      <c r="R40" s="17">
        <f t="shared" ref="R40" si="147">O40+P40+Q40</f>
        <v>0</v>
      </c>
      <c r="S40" s="20">
        <f t="shared" ref="S40" si="148">SUM(K40+L40+M40+N40)</f>
        <v>0</v>
      </c>
      <c r="T40" s="21">
        <f t="shared" ref="T40" si="149">S40*16%</f>
        <v>0</v>
      </c>
    </row>
    <row r="41" spans="1:215" s="5" customFormat="1" ht="18" customHeight="1" x14ac:dyDescent="0.25">
      <c r="A41" s="34">
        <v>43132</v>
      </c>
      <c r="B41" s="3"/>
      <c r="C41" s="3"/>
      <c r="D41" s="2"/>
      <c r="E41" s="15"/>
      <c r="F41" s="2"/>
      <c r="G41" s="2"/>
      <c r="H41" s="16"/>
      <c r="I41" s="16"/>
      <c r="J41" s="16"/>
      <c r="K41" s="17">
        <f t="shared" si="146"/>
        <v>0</v>
      </c>
      <c r="L41" s="17">
        <f t="shared" si="146"/>
        <v>0</v>
      </c>
      <c r="M41" s="17">
        <f t="shared" si="146"/>
        <v>0</v>
      </c>
      <c r="N41" s="20"/>
      <c r="O41" s="17">
        <f t="shared" si="8"/>
        <v>0</v>
      </c>
      <c r="P41" s="17">
        <f t="shared" si="9"/>
        <v>0</v>
      </c>
      <c r="Q41" s="17">
        <f t="shared" si="10"/>
        <v>0</v>
      </c>
      <c r="R41" s="17">
        <f t="shared" ref="R41" si="150">O41+P41+Q41</f>
        <v>0</v>
      </c>
      <c r="S41" s="20">
        <f t="shared" ref="S41" si="151">SUM(K41+L41+M41+N41)</f>
        <v>0</v>
      </c>
      <c r="T41" s="21">
        <f t="shared" ref="T41" si="152">S41*16%</f>
        <v>0</v>
      </c>
    </row>
    <row r="42" spans="1:215" s="5" customFormat="1" ht="18" customHeight="1" thickBot="1" x14ac:dyDescent="0.3">
      <c r="A42" s="36">
        <v>43100</v>
      </c>
      <c r="B42" s="37"/>
      <c r="C42" s="37"/>
      <c r="D42" s="38"/>
      <c r="E42" s="39"/>
      <c r="F42" s="37"/>
      <c r="G42" s="37"/>
      <c r="H42" s="40"/>
      <c r="I42" s="40"/>
      <c r="J42" s="40"/>
      <c r="K42" s="41">
        <f t="shared" ref="K42:M42" si="153">B42*H42</f>
        <v>0</v>
      </c>
      <c r="L42" s="41">
        <f t="shared" si="153"/>
        <v>0</v>
      </c>
      <c r="M42" s="41">
        <f t="shared" si="153"/>
        <v>0</v>
      </c>
      <c r="N42" s="43"/>
      <c r="O42" s="41">
        <f t="shared" si="8"/>
        <v>0</v>
      </c>
      <c r="P42" s="41">
        <f t="shared" si="9"/>
        <v>0</v>
      </c>
      <c r="Q42" s="41">
        <f t="shared" si="10"/>
        <v>0</v>
      </c>
      <c r="R42" s="41">
        <f t="shared" si="29"/>
        <v>0</v>
      </c>
      <c r="S42" s="43">
        <f t="shared" si="30"/>
        <v>0</v>
      </c>
      <c r="T42" s="42">
        <f t="shared" ref="T42" si="154">S42*16%</f>
        <v>0</v>
      </c>
      <c r="V42" s="8"/>
    </row>
    <row r="43" spans="1:215" ht="18" customHeight="1" x14ac:dyDescent="0.25">
      <c r="B43" s="19">
        <f>SUM(B19:B20)</f>
        <v>4003.61</v>
      </c>
      <c r="C43" s="19">
        <f t="shared" ref="C43:D43" si="155">SUM(C19:C20)</f>
        <v>432.85</v>
      </c>
      <c r="D43" s="19">
        <f t="shared" si="155"/>
        <v>0</v>
      </c>
      <c r="E43" s="5"/>
      <c r="F43" s="5"/>
      <c r="G43" s="9"/>
      <c r="I43" s="35"/>
      <c r="J43" s="35"/>
      <c r="K43" s="19">
        <f>SUM(K27:K42)</f>
        <v>52788.763772660001</v>
      </c>
      <c r="L43" s="19">
        <f t="shared" ref="L43:N43" si="156">SUM(L27:L42)</f>
        <v>6787.1798909399995</v>
      </c>
      <c r="M43" s="19">
        <f t="shared" si="156"/>
        <v>0</v>
      </c>
      <c r="N43" s="19">
        <f t="shared" si="156"/>
        <v>202.58</v>
      </c>
      <c r="O43" s="19"/>
      <c r="P43" s="19"/>
      <c r="Q43" s="19"/>
      <c r="R43" s="19">
        <f>SUM(R27:R42)</f>
        <v>1753.0482160000001</v>
      </c>
      <c r="S43" s="19">
        <f t="shared" ref="S43:T43" si="157">SUM(S27:S42)</f>
        <v>59778.523663600005</v>
      </c>
      <c r="T43" s="19">
        <f t="shared" si="157"/>
        <v>9564.5637861760006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</row>
    <row r="44" spans="1:215" ht="18" customHeight="1" x14ac:dyDescent="0.25">
      <c r="A44" s="5"/>
      <c r="B44" s="5"/>
      <c r="C44" s="5"/>
      <c r="D44" s="5"/>
      <c r="E44" s="5"/>
      <c r="F44" s="5"/>
      <c r="G44" s="5"/>
      <c r="H44" s="5"/>
      <c r="I44" s="1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</row>
    <row r="45" spans="1:215" ht="18" customHeight="1" x14ac:dyDescent="0.25">
      <c r="A45" s="6"/>
      <c r="B45" s="5" t="s">
        <v>16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</row>
    <row r="46" spans="1:215" x14ac:dyDescent="0.25">
      <c r="A46" s="10"/>
      <c r="B46" s="5" t="s">
        <v>17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</row>
    <row r="47" spans="1:215" x14ac:dyDescent="0.25">
      <c r="A47" s="7"/>
      <c r="B47" s="5" t="s">
        <v>18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pans="1:2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pans="1:21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pans="1:2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</row>
    <row r="51" spans="1:2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</row>
    <row r="52" spans="1:2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</row>
    <row r="53" spans="1:21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</row>
    <row r="54" spans="1:2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1:21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21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21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2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2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21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2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2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21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21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x14ac:dyDescent="0.25">
      <c r="A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x14ac:dyDescent="0.25">
      <c r="A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x14ac:dyDescent="0.25">
      <c r="A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x14ac:dyDescent="0.25">
      <c r="A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x14ac:dyDescent="0.25">
      <c r="A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x14ac:dyDescent="0.25">
      <c r="A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x14ac:dyDescent="0.25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x14ac:dyDescent="0.25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</sheetData>
  <mergeCells count="7">
    <mergeCell ref="E4:G4"/>
    <mergeCell ref="K4:M4"/>
    <mergeCell ref="H4:J4"/>
    <mergeCell ref="A3:J3"/>
    <mergeCell ref="K3:Q3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2016-10-11T21:34:59Z</cp:lastPrinted>
  <dcterms:created xsi:type="dcterms:W3CDTF">2015-10-02T22:42:38Z</dcterms:created>
  <dcterms:modified xsi:type="dcterms:W3CDTF">2018-01-25T22:16:56Z</dcterms:modified>
</cp:coreProperties>
</file>